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X+kQ5aCKfPLtz1g1pSjOn2O8QiPuBHhOHcwhdXgTP9VF6WLOP67auyVs2PLZ4zzpy1XX7gWuy6DZmQfztz4F+Q==" workbookSaltValue="zYcVgYpXdLdsRbbf3mKF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E12" i="6"/>
  <c r="H13" i="1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X12" i="17"/>
  <c r="L10" i="2"/>
  <c r="AA10" i="16"/>
  <c r="S15" i="17"/>
  <c r="L16" i="2"/>
  <c r="U9" i="17"/>
  <c r="U19" i="17" s="1"/>
  <c r="V10" i="16"/>
  <c r="L9" i="2"/>
  <c r="V9" i="16"/>
  <c r="BF15" i="13"/>
  <c r="BG15" i="13"/>
  <c r="BA18" i="13"/>
  <c r="BE15" i="13"/>
  <c r="BF16" i="13"/>
  <c r="W20" i="20"/>
  <c r="M20" i="20"/>
  <c r="AV20" i="20"/>
  <c r="AP20" i="20"/>
  <c r="AA20" i="20"/>
  <c r="C18" i="7" l="1"/>
  <c r="G18" i="12"/>
  <c r="T19" i="8"/>
  <c r="BG15" i="8"/>
  <c r="BD9" i="8"/>
  <c r="C13" i="7"/>
  <c r="BE9" i="8"/>
  <c r="I9" i="7" s="1"/>
  <c r="M18" i="2"/>
  <c r="AO9"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L9" i="14"/>
  <c r="L16" i="14"/>
  <c r="E17" i="6"/>
  <c r="H19" i="21"/>
  <c r="AG13" i="21"/>
  <c r="BC21" i="21"/>
  <c r="AZ20" i="20"/>
  <c r="S20" i="20"/>
  <c r="E20" i="20"/>
  <c r="U16" i="11"/>
  <c r="O20" i="20"/>
  <c r="AU20" i="20"/>
  <c r="L20" i="20"/>
  <c r="AQ20" i="20"/>
  <c r="AN20" i="20"/>
  <c r="R20" i="20"/>
  <c r="AO20" i="20"/>
  <c r="K20" i="20"/>
  <c r="W20" i="21"/>
  <c r="Z20" i="20"/>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G13" i="14"/>
  <c r="AQ20" i="21"/>
  <c r="X20" i="20"/>
  <c r="H20" i="20"/>
  <c r="K15" i="12" l="1"/>
  <c r="I9" i="12"/>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I20" i="12"/>
  <c r="AL20" i="16"/>
  <c r="AA20" i="21"/>
  <c r="AR20" i="17"/>
  <c r="AO20" i="11"/>
  <c r="I20" i="16"/>
  <c r="AE20" i="17"/>
  <c r="AU20" i="16"/>
  <c r="BH20" i="16"/>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K20" i="21"/>
  <c r="AY20" i="16"/>
  <c r="AM20" i="17"/>
  <c r="U20" i="20"/>
  <c r="AO20" i="17"/>
  <c r="AW20" i="21"/>
  <c r="U20" i="11"/>
  <c r="D20" i="12"/>
  <c r="AY20" i="21"/>
  <c r="I20" i="21"/>
  <c r="T20" i="11"/>
  <c r="M20" i="21"/>
  <c r="BK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<sst xmlns="http://schemas.openxmlformats.org/spreadsheetml/2006/main" count="2102" uniqueCount="916">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</sst>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UD2ucvDqO2abpIGU0Tlys4DBvem6MnlbhsCGFS0ZJ8fHsu6VWIVoPsQwnpG/bhYUwoBKoXM9yMGnZ4jgkwJ7A==" saltValue="bukFuIlicRjsm9JU/ItF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18.950242999305715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35</v>
      </c>
      <c r="F10" s="226">
        <f>IF(ISNUMBER(Datos!K10),Datos!K10," - ")</f>
        <v>42</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-0.31818181818181818</v>
      </c>
      <c r="L10" s="1025">
        <f>IF(ISNUMBER(NºAsuntos!I10/NºAsuntos!G10),(NºAsuntos!I10/NºAsuntos!G10)*11," - ")</f>
        <v>3.9285714285714288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35</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2240</v>
      </c>
      <c r="D15" s="225">
        <f>IF(ISNUMBER(IF(D_I="SI",Datos!I15,Datos!I15+Datos!AC15)),IF(D_I="SI",Datos!I15,Datos!I15+Datos!AC15)," - ")</f>
        <v>2187</v>
      </c>
      <c r="E15" s="226">
        <f>IF(ISNUMBER(IF(D_I="SI",Datos!J15,Datos!J15+Datos!AD15)),IF(D_I="SI",Datos!J15,Datos!J15+Datos!AD15)," - ")</f>
        <v>3654</v>
      </c>
      <c r="F15" s="226">
        <f>IF(ISNUMBER(IF(D_I="SI",Datos!K15,Datos!K15+Datos!AE15)),IF(D_I="SI",Datos!K15,Datos!K15+Datos!AE15)," - ")</f>
        <v>3611</v>
      </c>
      <c r="G15" s="1034" t="str">
        <f>IF(Datos!E15&lt;&gt;"",Datos!E15,Datos!D15)</f>
        <v>03</v>
      </c>
      <c r="H15" s="227">
        <f>IF(ISNUMBER(IF(D_I="SI",Datos!L15,Datos!L15+Datos!AF15)),IF(D_I="SI",Datos!L15,Datos!L15+Datos!AF15)," - ")</f>
        <v>2283</v>
      </c>
      <c r="I15" s="1044" t="str">
        <f>IF(ISNUMBER(Datos!AS15/Datos!BM15),Datos!AS15/Datos!BM15," - ")</f>
        <v xml:space="preserve"> - </v>
      </c>
      <c r="J15" s="1045">
        <f>IF(ISNUMBER(Datos!BY15/Datos!CN15),Datos!BY15/Datos!CN15," - ")</f>
        <v>0</v>
      </c>
      <c r="K15" s="230">
        <f t="shared" ref="K15:K17" si="3">IF(ISNUMBER((E15-F15)/C15),(E15-F15)/C15," - ")</f>
        <v>1.9196428571428573E-2</v>
      </c>
      <c r="L15" s="1025">
        <f>IF(ISNUMBER(NºAsuntos!I15/NºAsuntos!G15),(NºAsuntos!I15/NºAsuntos!G15)*11," - ")</f>
        <v>6.9545832179451672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94</v>
      </c>
      <c r="D17" s="225">
        <f>IF(ISNUMBER(IF(D_I="SI",Datos!I17,Datos!I17+Datos!AC17)),IF(D_I="SI",Datos!I17,Datos!I17+Datos!AC17)," - ")</f>
        <v>92</v>
      </c>
      <c r="E17" s="226">
        <f>IF(ISNUMBER(IF(D_I="SI",Datos!J17,Datos!J17+Datos!AD17)),IF(D_I="SI",Datos!J17,Datos!J17+Datos!AD17)," - ")</f>
        <v>196</v>
      </c>
      <c r="F17" s="226">
        <f>IF(ISNUMBER(IF(D_I="SI",Datos!K17,Datos!K17+Datos!AE17)),IF(D_I="SI",Datos!K17,Datos!K17+Datos!AE17)," - ")</f>
        <v>189</v>
      </c>
      <c r="G17" s="1034" t="str">
        <f>IF(Datos!E17&lt;&gt;"",Datos!E17,Datos!D17)</f>
        <v>37</v>
      </c>
      <c r="H17" s="227">
        <f>IF(ISNUMBER(IF(D_I="SI",Datos!L17,Datos!L17+Datos!AF17)),IF(D_I="SI",Datos!L17,Datos!L17+Datos!AF17)," - ")</f>
        <v>101</v>
      </c>
      <c r="I17" s="1044" t="str">
        <f>IF(ISNUMBER(Datos!AS17/Datos!BM17),Datos!AS17/Datos!BM17," - ")</f>
        <v xml:space="preserve"> - </v>
      </c>
      <c r="J17" s="1045" t="str">
        <f>IF(ISNUMBER((Datos!BY17+Datos!BZ17)/Datos!CN17),(Datos!BY17+Datos!BZ17)/Datos!CN17," - ")</f>
        <v xml:space="preserve"> - </v>
      </c>
      <c r="K17" s="230">
        <f t="shared" si="3"/>
        <v>7.4468085106382975E-2</v>
      </c>
      <c r="L17" s="1025">
        <f>IF(ISNUMBER(NºAsuntos!I17/NºAsuntos!G17),(NºAsuntos!I17/NºAsuntos!G17)*11," - ")</f>
        <v>5.8783068783068781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2334</v>
      </c>
      <c r="D18" s="1049">
        <f>SUBTOTAL(9,D15:D17)</f>
        <v>2279</v>
      </c>
      <c r="E18" s="1050">
        <f>SUBTOTAL(9,E15:E17)</f>
        <v>3850</v>
      </c>
      <c r="F18" s="1050">
        <f>SUBTOTAL(9,F15:F17)</f>
        <v>3800</v>
      </c>
      <c r="G18" s="1052" t="str">
        <f ca="1">INDIRECT(CONCATENATE("G",ROW()-1))</f>
        <v>37</v>
      </c>
      <c r="H18" s="1053">
        <f ca="1">SUMIF(G$14:G17,G18,H$14:H17)</f>
        <v>101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2356</v>
      </c>
      <c r="D19" s="1071">
        <f>SUBTOTAL(9,D9:D18)</f>
        <v>2301</v>
      </c>
      <c r="E19" s="1072">
        <f>SUBTOTAL(9,E9:E18)</f>
        <v>3885</v>
      </c>
      <c r="F19" s="1072">
        <f>SUBTOTAL(9,F9:F18)</f>
        <v>3842</v>
      </c>
      <c r="G19" s="1073"/>
      <c r="H19" s="1074">
        <f ca="1">SUMIF(B9:B18,"TOTAL",H9:H18)</f>
        <v>101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w1MeOXyd29X2gkOTLAZCT2P2Vt8/D6ln3Pzdf3wKHfAGpUUawwmq1rSazqPNETJPlpHNRGNVi2Bg/LUPg/U2g==" saltValue="z12MaS4SL7n8Waew8rmPY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MTlq6xGyRAbcShpFbigjYAZ2l9iQ8fgvQwzEfxyq7SpbYTphUHhrRiK7PJJtngn/LKFnnKVtCMSVFxrmHpKVw==" saltValue="KIiRF1QKeMFMOnONFSnQ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8593</v>
      </c>
      <c r="J9" s="181">
        <v>2311</v>
      </c>
      <c r="K9" s="181">
        <v>4185</v>
      </c>
      <c r="L9" s="181">
        <v>7274</v>
      </c>
      <c r="M9" s="181">
        <v>1211</v>
      </c>
      <c r="N9" s="181">
        <v>2537</v>
      </c>
      <c r="O9" s="181">
        <v>665</v>
      </c>
      <c r="P9" s="181">
        <v>454</v>
      </c>
      <c r="Q9" s="181">
        <v>327</v>
      </c>
      <c r="R9" s="181">
        <v>7980</v>
      </c>
      <c r="S9" s="181">
        <v>5950</v>
      </c>
      <c r="T9" s="181">
        <v>3569</v>
      </c>
      <c r="U9" s="181">
        <v>3339</v>
      </c>
      <c r="V9" s="181">
        <v>6180</v>
      </c>
      <c r="W9" s="181">
        <v>846</v>
      </c>
      <c r="X9" s="188">
        <v>2044</v>
      </c>
      <c r="Y9" s="191">
        <v>158</v>
      </c>
      <c r="Z9" s="181">
        <v>148</v>
      </c>
      <c r="AA9" s="181">
        <v>136</v>
      </c>
      <c r="AB9" s="181">
        <v>170</v>
      </c>
      <c r="AC9" s="181">
        <v>0</v>
      </c>
      <c r="AD9" s="181">
        <v>0</v>
      </c>
      <c r="AE9" s="181">
        <v>0</v>
      </c>
      <c r="AF9" s="188">
        <v>0</v>
      </c>
      <c r="AG9" s="191">
        <v>181</v>
      </c>
      <c r="AH9" s="181">
        <v>123</v>
      </c>
      <c r="AI9" s="181">
        <v>99</v>
      </c>
      <c r="AJ9" s="192">
        <v>205</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6131</v>
      </c>
      <c r="AZ9" s="123">
        <f>IF(ISNUMBER(IF(J_V="SI",T9,T9+AH9)),IF(J_V="SI",T9,T9+AH9)," - ")</f>
        <v>3692</v>
      </c>
      <c r="BA9" s="124">
        <f>IF(ISNUMBER(IF(J_V="SI",U9,U9+AI9)),IF(J_V="SI",U9,U9+AI9)," - ")</f>
        <v>3438</v>
      </c>
      <c r="BB9" s="124">
        <f>IF(ISNUMBER(IF(J_V="SI",V9,V9+AJ9)),IF(J_V="SI",V9,V9+AJ9)," - ")</f>
        <v>6385</v>
      </c>
      <c r="BC9" s="125">
        <f>IF(ISNUMBER(X9),X9," - ")</f>
        <v>2044</v>
      </c>
      <c r="BD9" s="126">
        <f>IF(ISNUMBER(BA9/AZ9),BA9/AZ9," - ")</f>
        <v>0.93120260021668477</v>
      </c>
      <c r="BE9" s="127">
        <f>IF(ISNUMBER(BB9/BA9),BB9/BA9, " - ")</f>
        <v>1.8571844095404304</v>
      </c>
      <c r="BF9" s="127">
        <f>IF(ISNUMBER(BC9/BA9),BC9/BA9, " - ")</f>
        <v>0.59453170447934844</v>
      </c>
      <c r="BG9" s="196">
        <f>IF(ISNUMBER((AY9+AZ9)/BA9),(AY9+AZ9)/BA9," - ")</f>
        <v>2.8571844095404306</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35</v>
      </c>
      <c r="K10" s="181">
        <v>42</v>
      </c>
      <c r="L10" s="181">
        <v>15</v>
      </c>
      <c r="M10" s="181">
        <v>21</v>
      </c>
      <c r="N10" s="181">
        <v>14</v>
      </c>
      <c r="O10" s="181">
        <v>0</v>
      </c>
      <c r="P10" s="181">
        <v>2</v>
      </c>
      <c r="Q10" s="181">
        <v>0</v>
      </c>
      <c r="R10" s="181">
        <v>40</v>
      </c>
      <c r="S10" s="181">
        <v>22</v>
      </c>
      <c r="T10" s="181">
        <v>24</v>
      </c>
      <c r="U10" s="181">
        <v>31</v>
      </c>
      <c r="V10" s="181">
        <v>15</v>
      </c>
      <c r="W10" s="181">
        <v>16</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22</v>
      </c>
      <c r="AZ10" s="129">
        <f t="shared" si="0"/>
        <v>24</v>
      </c>
      <c r="BA10" s="129">
        <f t="shared" si="0"/>
        <v>31</v>
      </c>
      <c r="BB10" s="129">
        <f t="shared" si="0"/>
        <v>15</v>
      </c>
      <c r="BC10" s="125">
        <f t="shared" si="0"/>
        <v>16</v>
      </c>
      <c r="BD10" s="126">
        <f>IF(ISNUMBER(BA10/AZ10),BA10/AZ10," - ")</f>
        <v>1.2916666666666667</v>
      </c>
      <c r="BE10" s="127">
        <f>IF(ISNUMBER(BB10/BA10),BB10/BA10, " - ")</f>
        <v>0.4838709677419355</v>
      </c>
      <c r="BF10" s="127">
        <f>IF(ISNUMBER(BC10/BA10),BC10/BA10, " - ")</f>
        <v>0.5161290322580645</v>
      </c>
      <c r="BG10" s="196">
        <f>IF(ISNUMBER((AY10+AZ10)/BA10),(AY10+AZ10)/BA10," - ")</f>
        <v>1.4838709677419355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8615</v>
      </c>
      <c r="J13" s="184">
        <f t="shared" si="6"/>
        <v>2346</v>
      </c>
      <c r="K13" s="184">
        <f t="shared" si="6"/>
        <v>4227</v>
      </c>
      <c r="L13" s="184">
        <f t="shared" si="6"/>
        <v>7289</v>
      </c>
      <c r="M13" s="184">
        <f t="shared" si="6"/>
        <v>1232</v>
      </c>
      <c r="N13" s="184">
        <f t="shared" si="6"/>
        <v>2551</v>
      </c>
      <c r="O13" s="184">
        <f t="shared" si="6"/>
        <v>665</v>
      </c>
      <c r="P13" s="184">
        <f t="shared" si="6"/>
        <v>456</v>
      </c>
      <c r="Q13" s="184">
        <f t="shared" si="6"/>
        <v>327</v>
      </c>
      <c r="R13" s="184">
        <f t="shared" si="6"/>
        <v>8020</v>
      </c>
      <c r="S13" s="184">
        <f t="shared" si="6"/>
        <v>5972</v>
      </c>
      <c r="T13" s="184">
        <f t="shared" si="6"/>
        <v>3593</v>
      </c>
      <c r="U13" s="184">
        <f t="shared" si="6"/>
        <v>3370</v>
      </c>
      <c r="V13" s="184">
        <f t="shared" si="6"/>
        <v>6195</v>
      </c>
      <c r="W13" s="184">
        <f t="shared" si="6"/>
        <v>862</v>
      </c>
      <c r="X13" s="184">
        <f t="shared" si="6"/>
        <v>2052</v>
      </c>
      <c r="Y13" s="184">
        <f t="shared" si="6"/>
        <v>158</v>
      </c>
      <c r="Z13" s="184">
        <f t="shared" si="6"/>
        <v>148</v>
      </c>
      <c r="AA13" s="184">
        <f t="shared" si="6"/>
        <v>136</v>
      </c>
      <c r="AB13" s="184">
        <f t="shared" si="6"/>
        <v>170</v>
      </c>
      <c r="AC13" s="184">
        <f t="shared" si="6"/>
        <v>0</v>
      </c>
      <c r="AD13" s="184">
        <f t="shared" si="6"/>
        <v>0</v>
      </c>
      <c r="AE13" s="184">
        <f t="shared" si="6"/>
        <v>0</v>
      </c>
      <c r="AF13" s="184">
        <f>SUBTOTAL(9,AF9:AF12)</f>
        <v>0</v>
      </c>
      <c r="AG13" s="184">
        <f t="shared" ref="AG13:AT13" si="7">SUBTOTAL(9,AG8:AG12)</f>
        <v>181</v>
      </c>
      <c r="AH13" s="184">
        <f t="shared" si="7"/>
        <v>123</v>
      </c>
      <c r="AI13" s="184">
        <f t="shared" si="7"/>
        <v>99</v>
      </c>
      <c r="AJ13" s="184">
        <f t="shared" si="7"/>
        <v>205</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6153</v>
      </c>
      <c r="AZ13" s="184">
        <f>SUBTOTAL(9,AZ8:AZ12)</f>
        <v>3716</v>
      </c>
      <c r="BA13" s="184">
        <f>SUBTOTAL(9,BA8:BA12)</f>
        <v>3469</v>
      </c>
      <c r="BB13" s="184">
        <f>SUBTOTAL(9,BB8:BB12)</f>
        <v>6400</v>
      </c>
      <c r="BC13" s="184">
        <f>SUBTOTAL(9,BC8:BC12)</f>
        <v>2060</v>
      </c>
      <c r="BD13" s="205">
        <f>IF(ISNUMBER(BA13/AZ13),BA13/AZ13," - ")</f>
        <v>0.93353067814854684</v>
      </c>
      <c r="BE13" s="206">
        <f>IF(ISNUMBER(BB13/BA13),BB13/BA13, " - ")</f>
        <v>1.8449120784087634</v>
      </c>
      <c r="BF13" s="206">
        <f>IF(ISNUMBER(BC13/BA13),BC13/BA13, " - ")</f>
        <v>0.59383107523782075</v>
      </c>
      <c r="BG13" s="207">
        <f>IF(ISNUMBER((AY13+AZ13)/BA13),(AY13+AZ13)/BA13," - ")</f>
        <v>2.8449120784087634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2187</v>
      </c>
      <c r="J15" s="183">
        <v>3654</v>
      </c>
      <c r="K15" s="183">
        <v>3611</v>
      </c>
      <c r="L15" s="183">
        <v>2283</v>
      </c>
      <c r="M15" s="183">
        <v>479</v>
      </c>
      <c r="N15" s="183">
        <v>2518</v>
      </c>
      <c r="O15" s="181">
        <v>65</v>
      </c>
      <c r="P15" s="183">
        <v>118</v>
      </c>
      <c r="Q15" s="183">
        <v>176</v>
      </c>
      <c r="R15" s="183">
        <v>371</v>
      </c>
      <c r="S15" s="183">
        <v>1890</v>
      </c>
      <c r="T15" s="183">
        <v>4133</v>
      </c>
      <c r="U15" s="183">
        <v>3941</v>
      </c>
      <c r="V15" s="183">
        <v>2143</v>
      </c>
      <c r="W15" s="183">
        <v>510</v>
      </c>
      <c r="X15" s="189">
        <v>2725</v>
      </c>
      <c r="Y15" s="202">
        <v>0</v>
      </c>
      <c r="Z15" s="183">
        <v>0</v>
      </c>
      <c r="AA15" s="183">
        <v>0</v>
      </c>
      <c r="AB15" s="183">
        <v>0</v>
      </c>
      <c r="AC15" s="183">
        <v>0</v>
      </c>
      <c r="AD15" s="183">
        <v>45</v>
      </c>
      <c r="AE15" s="183">
        <v>45</v>
      </c>
      <c r="AF15" s="189">
        <v>0</v>
      </c>
      <c r="AG15" s="202">
        <v>0</v>
      </c>
      <c r="AH15" s="183">
        <v>0</v>
      </c>
      <c r="AI15" s="183">
        <v>0</v>
      </c>
      <c r="AJ15" s="203">
        <v>0</v>
      </c>
      <c r="AK15" s="182">
        <v>0</v>
      </c>
      <c r="AL15" s="183">
        <v>37</v>
      </c>
      <c r="AM15" s="183">
        <v>37</v>
      </c>
      <c r="AN15" s="189">
        <v>0</v>
      </c>
      <c r="AO15" s="259">
        <v>4</v>
      </c>
      <c r="AP15" s="155">
        <v>4</v>
      </c>
      <c r="AQ15" s="155">
        <v>4</v>
      </c>
      <c r="AR15" s="155">
        <v>4</v>
      </c>
      <c r="AS15" s="340" t="s">
        <v>522</v>
      </c>
      <c r="AT15" s="203" t="s">
        <v>326</v>
      </c>
      <c r="AU15" s="202"/>
      <c r="AV15" s="203"/>
      <c r="AW15" s="202"/>
      <c r="AX15" s="203"/>
      <c r="AY15" s="128">
        <f t="shared" ref="AY15:BB16" si="9">IF(ISNUMBER(IF(D_I="SI",S15,S15+AK15)),IF(D_I="SI",S15,S15+AK15)," - ")</f>
        <v>1890</v>
      </c>
      <c r="AZ15" s="129">
        <f t="shared" si="9"/>
        <v>4133</v>
      </c>
      <c r="BA15" s="129">
        <f t="shared" si="9"/>
        <v>3941</v>
      </c>
      <c r="BB15" s="129">
        <f t="shared" si="9"/>
        <v>2143</v>
      </c>
      <c r="BC15" s="125">
        <f>IF(ISNUMBER(W15),W15," - ")</f>
        <v>510</v>
      </c>
      <c r="BD15" s="126">
        <f>IF(ISNUMBER(BA15/AZ15),BA15/AZ15," - ")</f>
        <v>0.95354464069683043</v>
      </c>
      <c r="BE15" s="127">
        <f>IF(ISNUMBER(BB15/BA15),BB15/BA15, " - ")</f>
        <v>0.54377061659477288</v>
      </c>
      <c r="BF15" s="127">
        <f>IF(ISNUMBER(BC15/BA15),BC15/BA15, " - ")</f>
        <v>0.12940877949758944</v>
      </c>
      <c r="BG15" s="196">
        <f t="shared" ref="BG15:BG16" si="10">IF(ISNUMBER((AY15+AZ15)/BA15),(AY15+AZ15)/BA15," - ")</f>
        <v>1.5282923115960416</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92</v>
      </c>
      <c r="J17" s="183">
        <v>196</v>
      </c>
      <c r="K17" s="183">
        <v>189</v>
      </c>
      <c r="L17" s="183">
        <v>101</v>
      </c>
      <c r="M17" s="183">
        <v>48</v>
      </c>
      <c r="N17" s="183">
        <v>99</v>
      </c>
      <c r="O17" s="183">
        <v>8</v>
      </c>
      <c r="P17" s="183">
        <v>12</v>
      </c>
      <c r="Q17" s="183">
        <v>8</v>
      </c>
      <c r="R17" s="183">
        <v>29</v>
      </c>
      <c r="S17" s="183">
        <v>101</v>
      </c>
      <c r="T17" s="183">
        <v>201</v>
      </c>
      <c r="U17" s="183">
        <v>212</v>
      </c>
      <c r="V17" s="183">
        <v>91</v>
      </c>
      <c r="W17" s="183">
        <v>80</v>
      </c>
      <c r="X17" s="189">
        <v>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101</v>
      </c>
      <c r="AZ17" s="129">
        <f t="shared" si="14"/>
        <v>201</v>
      </c>
      <c r="BA17" s="129">
        <f t="shared" si="14"/>
        <v>212</v>
      </c>
      <c r="BB17" s="129">
        <f t="shared" si="14"/>
        <v>91</v>
      </c>
      <c r="BC17" s="125">
        <f>IF(ISNUMBER(W17),W17," - ")</f>
        <v>80</v>
      </c>
      <c r="BD17" s="126">
        <f>IF(ISNUMBER(BA17/AZ17),BA17/AZ17," - ")</f>
        <v>1.0547263681592041</v>
      </c>
      <c r="BE17" s="127">
        <f>IF(ISNUMBER(BB17/BA17),BB17/BA17, " - ")</f>
        <v>0.42924528301886794</v>
      </c>
      <c r="BF17" s="127">
        <f>IF(ISNUMBER(BC17/BA17),BC17/BA17, " - ")</f>
        <v>0.37735849056603776</v>
      </c>
      <c r="BG17" s="196">
        <f>IF(ISNUMBER((AY17+AZ17)/BA17),(AY17+AZ17)/BA17," - ")</f>
        <v>1.4245283018867925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2279</v>
      </c>
      <c r="J18" s="184">
        <f t="shared" si="15"/>
        <v>3850</v>
      </c>
      <c r="K18" s="184">
        <f t="shared" si="15"/>
        <v>3800</v>
      </c>
      <c r="L18" s="184">
        <f t="shared" si="15"/>
        <v>2384</v>
      </c>
      <c r="M18" s="184">
        <f t="shared" si="15"/>
        <v>527</v>
      </c>
      <c r="N18" s="184">
        <f t="shared" si="15"/>
        <v>2617</v>
      </c>
      <c r="O18" s="184">
        <f t="shared" si="15"/>
        <v>73</v>
      </c>
      <c r="P18" s="184">
        <f t="shared" si="15"/>
        <v>130</v>
      </c>
      <c r="Q18" s="184">
        <f t="shared" si="15"/>
        <v>184</v>
      </c>
      <c r="R18" s="184">
        <f t="shared" si="15"/>
        <v>400</v>
      </c>
      <c r="S18" s="184">
        <f t="shared" si="15"/>
        <v>1991</v>
      </c>
      <c r="T18" s="184">
        <f t="shared" si="15"/>
        <v>4334</v>
      </c>
      <c r="U18" s="184">
        <f t="shared" si="15"/>
        <v>4153</v>
      </c>
      <c r="V18" s="184">
        <f t="shared" si="15"/>
        <v>2234</v>
      </c>
      <c r="W18" s="184">
        <f t="shared" si="15"/>
        <v>590</v>
      </c>
      <c r="X18" s="184">
        <f t="shared" si="15"/>
        <v>2790</v>
      </c>
      <c r="Y18" s="184">
        <f t="shared" si="15"/>
        <v>0</v>
      </c>
      <c r="Z18" s="184">
        <f t="shared" si="15"/>
        <v>0</v>
      </c>
      <c r="AA18" s="184">
        <f t="shared" si="15"/>
        <v>0</v>
      </c>
      <c r="AB18" s="184">
        <f t="shared" si="15"/>
        <v>0</v>
      </c>
      <c r="AC18" s="184">
        <f t="shared" si="15"/>
        <v>0</v>
      </c>
      <c r="AD18" s="184">
        <f t="shared" si="15"/>
        <v>45</v>
      </c>
      <c r="AE18" s="184">
        <f t="shared" si="15"/>
        <v>45</v>
      </c>
      <c r="AF18" s="184">
        <f t="shared" si="15"/>
        <v>0</v>
      </c>
      <c r="AG18" s="184">
        <f t="shared" si="15"/>
        <v>0</v>
      </c>
      <c r="AH18" s="184">
        <f t="shared" si="15"/>
        <v>0</v>
      </c>
      <c r="AI18" s="184">
        <f t="shared" si="15"/>
        <v>0</v>
      </c>
      <c r="AJ18" s="184">
        <f t="shared" si="15"/>
        <v>0</v>
      </c>
      <c r="AK18" s="184">
        <f t="shared" si="15"/>
        <v>0</v>
      </c>
      <c r="AL18" s="184">
        <f t="shared" si="15"/>
        <v>37</v>
      </c>
      <c r="AM18" s="184">
        <f t="shared" si="15"/>
        <v>37</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1991</v>
      </c>
      <c r="AZ18" s="184">
        <f>SUBTOTAL(9,AZ14:AZ17)</f>
        <v>4334</v>
      </c>
      <c r="BA18" s="184">
        <f>SUBTOTAL(9,BA14:BA17)</f>
        <v>4153</v>
      </c>
      <c r="BB18" s="184">
        <f>SUBTOTAL(9,BB14:BB17)</f>
        <v>2234</v>
      </c>
      <c r="BC18" s="184">
        <f>SUBTOTAL(9,BC14:BC17)</f>
        <v>590</v>
      </c>
      <c r="BD18" s="205">
        <f>IF(ISNUMBER(BA18/AZ18),BA18/AZ18," - ")</f>
        <v>0.95823719427780341</v>
      </c>
      <c r="BE18" s="206">
        <f>IF(ISNUMBER(BB18/BA18),BB18/BA18, " - ")</f>
        <v>0.53792439200577891</v>
      </c>
      <c r="BF18" s="206">
        <f>IF(ISNUMBER(BC18/BA18),BC18/BA18, " - ")</f>
        <v>0.14206597640260052</v>
      </c>
      <c r="BG18" s="207">
        <f>IF(ISNUMBER((AY18+AZ18)/BA18),(AY18+AZ18)/BA18," - ")</f>
        <v>1.5229954249939803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10894</v>
      </c>
      <c r="J19" s="134">
        <f t="shared" si="18"/>
        <v>6196</v>
      </c>
      <c r="K19" s="134">
        <f t="shared" si="18"/>
        <v>8027</v>
      </c>
      <c r="L19" s="134">
        <f t="shared" si="18"/>
        <v>9673</v>
      </c>
      <c r="M19" s="134">
        <f t="shared" si="18"/>
        <v>1759</v>
      </c>
      <c r="N19" s="134">
        <f t="shared" si="18"/>
        <v>5168</v>
      </c>
      <c r="O19" s="134">
        <f t="shared" si="18"/>
        <v>738</v>
      </c>
      <c r="P19" s="134">
        <f t="shared" si="18"/>
        <v>586</v>
      </c>
      <c r="Q19" s="134">
        <f t="shared" si="18"/>
        <v>511</v>
      </c>
      <c r="R19" s="134">
        <f t="shared" si="18"/>
        <v>8420</v>
      </c>
      <c r="S19" s="134">
        <f t="shared" si="18"/>
        <v>7963</v>
      </c>
      <c r="T19" s="134">
        <f t="shared" si="18"/>
        <v>7927</v>
      </c>
      <c r="U19" s="134">
        <f t="shared" si="18"/>
        <v>7523</v>
      </c>
      <c r="V19" s="134">
        <f t="shared" si="18"/>
        <v>8429</v>
      </c>
      <c r="W19" s="134">
        <f t="shared" si="18"/>
        <v>1452</v>
      </c>
      <c r="X19" s="134">
        <f t="shared" si="18"/>
        <v>4842</v>
      </c>
      <c r="Y19" s="134">
        <f t="shared" si="18"/>
        <v>158</v>
      </c>
      <c r="Z19" s="134">
        <f t="shared" si="18"/>
        <v>148</v>
      </c>
      <c r="AA19" s="134">
        <f t="shared" si="18"/>
        <v>136</v>
      </c>
      <c r="AB19" s="134">
        <f t="shared" si="18"/>
        <v>170</v>
      </c>
      <c r="AC19" s="134">
        <f t="shared" si="18"/>
        <v>0</v>
      </c>
      <c r="AD19" s="134">
        <f t="shared" si="18"/>
        <v>45</v>
      </c>
      <c r="AE19" s="134">
        <f t="shared" si="18"/>
        <v>45</v>
      </c>
      <c r="AF19" s="134">
        <f t="shared" si="18"/>
        <v>0</v>
      </c>
      <c r="AG19" s="134">
        <f t="shared" si="18"/>
        <v>181</v>
      </c>
      <c r="AH19" s="134">
        <f t="shared" si="18"/>
        <v>123</v>
      </c>
      <c r="AI19" s="134">
        <f t="shared" si="18"/>
        <v>99</v>
      </c>
      <c r="AJ19" s="134">
        <f t="shared" si="18"/>
        <v>205</v>
      </c>
      <c r="AK19" s="134">
        <f t="shared" si="18"/>
        <v>0</v>
      </c>
      <c r="AL19" s="134">
        <f t="shared" si="18"/>
        <v>37</v>
      </c>
      <c r="AM19" s="134">
        <f t="shared" si="18"/>
        <v>37</v>
      </c>
      <c r="AN19" s="210">
        <f t="shared" si="18"/>
        <v>0</v>
      </c>
      <c r="AO19" s="211">
        <v>11</v>
      </c>
      <c r="AP19" s="211">
        <v>10</v>
      </c>
      <c r="AQ19" s="211">
        <v>10</v>
      </c>
      <c r="AR19" s="211">
        <v>10</v>
      </c>
      <c r="AS19" s="153">
        <f t="shared" si="18"/>
        <v>0</v>
      </c>
      <c r="AT19" s="153">
        <f t="shared" si="18"/>
        <v>0</v>
      </c>
      <c r="AU19" s="211"/>
      <c r="AV19" s="212"/>
      <c r="AW19" s="211"/>
      <c r="AX19" s="212"/>
      <c r="AY19" s="133">
        <f>SUBTOTAL(9,AY9:AY18)</f>
        <v>8144</v>
      </c>
      <c r="AZ19" s="134">
        <f>SUBTOTAL(9,AZ9:AZ18)</f>
        <v>8050</v>
      </c>
      <c r="BA19" s="134">
        <f>SUBTOTAL(9,BA9:BA18)</f>
        <v>7622</v>
      </c>
      <c r="BB19" s="134">
        <f>SUBTOTAL(9,BB9:BB18)</f>
        <v>8634</v>
      </c>
      <c r="BC19" s="135">
        <f>SUBTOTAL(9,BC9:BC18)</f>
        <v>2650</v>
      </c>
      <c r="BD19" s="213">
        <f>IF(ISNUMBER(BA19/AZ19),BA19/AZ19," - ")</f>
        <v>0.94683229813664593</v>
      </c>
      <c r="BE19" s="210">
        <f>IF(ISNUMBER(BB19/BA19),BB19/BA19, " - ")</f>
        <v>1.1327735502492784</v>
      </c>
      <c r="BF19" s="210">
        <f>IF(ISNUMBER(BC19/BA19),BC19/BA19, " - ")</f>
        <v>0.34767777486224088</v>
      </c>
      <c r="BG19" s="135">
        <f>IF(ISNUMBER((AY19+AZ19)/BA19),(AY19+AZ19)/BA19," - ")</f>
        <v>2.1246392023091052</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6gl6ZdP/BOr7yzD/RHOUSJCwuZEaFa9B4fi/B54CojtAYEWZTK3JELQmoNYxM3iPdrBA5XCjAvcwfA2FJz6Q==" saltValue="SRfjBXJrA93HJqJVKU76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N3dXELTQOks+nkBUKCxdL5p75zldqLEUaVjDlwT5cNW3aH9ygT6KzPy+CWNLabFNBoOxU74z73T7OUWaUPRLA==" saltValue="tSpzwnx80dUNrDTTQ/dYF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ARRECIFE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148</v>
      </c>
      <c r="O9" s="334"/>
      <c r="P9" s="334"/>
      <c r="Q9" s="226">
        <f>IF(ISNUMBER(Datos!P9),Datos!P9,0)</f>
        <v>454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327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170</v>
      </c>
      <c r="AI9" s="334" t="str">
        <f>IF(ISNUMBER(Datos!CD9),Datos!CD9,"-")</f>
        <v>-</v>
      </c>
      <c r="AJ9" s="334" t="str">
        <f>IF(ISNUMBER(Datos!EN9),Datos!EN9," - ")</f>
        <v xml:space="preserve"> - </v>
      </c>
      <c r="AK9" s="334"/>
      <c r="AL9" s="479"/>
      <c r="AM9" s="335">
        <f>IF(ISNUMBER(Datos!R9),Datos!R9," - ")</f>
        <v>7980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1211</v>
      </c>
      <c r="BD9" s="229">
        <f>IF(ISNUMBER(Datos!N9),Datos!N9," - ")</f>
        <v>2537</v>
      </c>
      <c r="BE9" s="229" t="str">
        <f>IF(ISNUMBER(Datos!BW9),Datos!BW9," - ")</f>
        <v xml:space="preserve"> - </v>
      </c>
      <c r="BF9" s="228" t="str">
        <f>IF(ISNUMBER(Datos!BX9),Datos!BX9," - ")</f>
        <v xml:space="preserve"> - </v>
      </c>
      <c r="BG9" s="243">
        <f>IF(ISNUMBER(IF(J_V="SI",Datos!K9/Datos!J9,(Datos!K9+Datos!AA9)/(Datos!J9+Datos!Z9))),IF(J_V="SI",Datos!K9/Datos!J9,(Datos!K9+Datos!AA9)/(Datos!J9+Datos!Z9))," - ")</f>
        <v>1.7572183814558764</v>
      </c>
      <c r="BH9" s="260">
        <f>IF(ISNUMBER(((IF(J_V="SI",Datos!L9/Datos!K9,(Datos!L9+Datos!AB9)/(Datos!K9+Datos!AA9)))*11)/factor_trimestre),((IF(J_V="SI",Datos!L9/Datos!K9,(Datos!L9+Datos!AB9)/(Datos!K9+Datos!AA9)))*11)/factor_trimestre," - ")</f>
        <v>5.1682480907197403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1.6172163504393225E-2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0</v>
      </c>
      <c r="AD10" s="334"/>
      <c r="AE10" s="484"/>
      <c r="AF10" s="332">
        <f>IF(ISNUMBER(Datos!L10),Datos!L10,"-")</f>
        <v>15</v>
      </c>
      <c r="AG10" s="334"/>
      <c r="AH10" s="334"/>
      <c r="AI10" s="334"/>
      <c r="AJ10" s="334"/>
      <c r="AK10" s="334"/>
      <c r="AL10" s="479"/>
      <c r="AM10" s="335">
        <f>IF(ISNUMBER(Datos!R10),Datos!R10," - ")</f>
        <v>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14</v>
      </c>
      <c r="BE10" s="229" t="str">
        <f>IF(ISNUMBER(Datos!BW10),Datos!BW10," - ")</f>
        <v xml:space="preserve"> - </v>
      </c>
      <c r="BF10" s="228" t="str">
        <f>IF(ISNUMBER(Datos!BX10),Datos!BX10," - ")</f>
        <v xml:space="preserve"> - </v>
      </c>
      <c r="BG10" s="243">
        <f>IF(ISNUMBER(Datos!K10/Datos!J10),Datos!K10/Datos!J10," - ")</f>
        <v>1.2</v>
      </c>
      <c r="BH10" s="260">
        <f>IF(ISNUMBER(((Datos!L10/Datos!K10)*11)/factor_trimestre),((Datos!L10/Datos!K10)*11)/factor_trimestre," - ")</f>
        <v>1.0714285714285716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5.2631578947368418E-2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148</v>
      </c>
      <c r="O13" s="900">
        <f t="shared" si="0"/>
        <v>0</v>
      </c>
      <c r="P13" s="900">
        <f t="shared" si="0"/>
        <v>0</v>
      </c>
      <c r="Q13" s="899">
        <f t="shared" si="0"/>
        <v>456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327</v>
      </c>
      <c r="AD13" s="899">
        <f t="shared" si="1"/>
        <v>0</v>
      </c>
      <c r="AE13" s="899">
        <f t="shared" si="1"/>
        <v>0</v>
      </c>
      <c r="AF13" s="899">
        <f t="shared" si="1"/>
        <v>15</v>
      </c>
      <c r="AG13" s="899">
        <f t="shared" si="1"/>
        <v>0</v>
      </c>
      <c r="AH13" s="899">
        <f t="shared" si="1"/>
        <v>170</v>
      </c>
      <c r="AI13" s="899">
        <f t="shared" si="1"/>
        <v>0</v>
      </c>
      <c r="AJ13" s="899">
        <f t="shared" si="1"/>
        <v>0</v>
      </c>
      <c r="AK13" s="899">
        <f t="shared" si="1"/>
        <v>0</v>
      </c>
      <c r="AL13" s="899">
        <f t="shared" si="1"/>
        <v>0</v>
      </c>
      <c r="AM13" s="899">
        <f t="shared" si="1"/>
        <v>8020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1232</v>
      </c>
      <c r="BD13" s="899">
        <f t="shared" si="1"/>
        <v>2551</v>
      </c>
      <c r="BE13" s="899">
        <f t="shared" si="1"/>
        <v>0</v>
      </c>
      <c r="BF13" s="899">
        <f t="shared" si="1"/>
        <v>0</v>
      </c>
      <c r="BG13" s="899">
        <f>IF(ISNUMBER(Datos!K13/Datos!J13),Datos!K13/Datos!J13," - ")</f>
        <v>1.8017902813299234</v>
      </c>
      <c r="BH13" s="903">
        <f>IF(ISNUMBER(((Datos!L13/Datos!K13)*11)/factor_trimestre),((Datos!L13/Datos!K13)*11)/factor_trimestre," - ")</f>
        <v>5.1731724627395321</v>
      </c>
      <c r="BI13" s="899">
        <f>IF(ISNUMBER('Resol  Asuntos'!D13/NºAsuntos!G13),'Resol  Asuntos'!D13/NºAsuntos!G13," - ")</f>
        <v>0.2823745129498052</v>
      </c>
      <c r="BJ13" s="899" t="str">
        <f>IF(ISNUMBER(Datos!CI13/Datos!CJ13),Datos!CI13/Datos!CJ13," - ")</f>
        <v xml:space="preserve"> - </v>
      </c>
      <c r="BK13" s="899">
        <f>SUBTOTAL(9,BK8:BK12)</f>
        <v>0</v>
      </c>
      <c r="BL13" s="899">
        <f>IF(ISNUMBER((I13-AB13+L13)/(F13)),(I13-AB13+L13)/(F13)," - ")</f>
        <v>-1.9090909090909092</v>
      </c>
      <c r="BM13" s="904">
        <f>SUBTOTAL(9,BM9:BM12)</f>
        <v>6.8803742451761643E-2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2240</v>
      </c>
      <c r="G15" s="598">
        <f>IF(ISNUMBER(IF(D_I="SI",Datos!I15,Datos!I15+Datos!AC15)),IF(D_I="SI",Datos!I15,Datos!I15+Datos!AC15)," - ")</f>
        <v>2187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118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3611</v>
      </c>
      <c r="AC15" s="226">
        <f>IF(ISNUMBER(Datos!Q15),Datos!Q15," - ")</f>
        <v>176</v>
      </c>
      <c r="AD15" s="334"/>
      <c r="AE15" s="484"/>
      <c r="AF15" s="596">
        <f>IF(ISNUMBER(IF(D_I="SI",Datos!L15,Datos!L15+Datos!AF15)),IF(D_I="SI",Datos!L15,Datos!L15+Datos!AF15)," - ")</f>
        <v>2283</v>
      </c>
      <c r="AG15" s="334"/>
      <c r="AH15" s="334"/>
      <c r="AI15" s="334"/>
      <c r="AJ15" s="334"/>
      <c r="AK15" s="334"/>
      <c r="AL15" s="479"/>
      <c r="AM15" s="335">
        <f>IF(ISNUMBER(Datos!R15),Datos!R15," - ")</f>
        <v>371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479</v>
      </c>
      <c r="BD15" s="229">
        <f>IF(ISNUMBER(Datos!N15),Datos!N15," - ")</f>
        <v>2518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0.98823207443897099</v>
      </c>
      <c r="BH15" s="260">
        <f>IF(ISNUMBER(((IF(D_I="SI",Datos!L15/Datos!K15,(Datos!L15+Datos!AF15)/(Datos!K15+Datos!AE15)))*11)/factor_trimestre),((IF(D_I="SI",Datos!L15/Datos!K15,(Datos!L15+Datos!AF15)/(Datos!K15+Datos!AE15)))*11)/factor_trimestre," - ")</f>
        <v>1.8967045139850456</v>
      </c>
      <c r="BI15" s="243">
        <f>IF(ISNUMBER('Resol  Asuntos'!D15/NºAsuntos!G15),'Resol  Asuntos'!D15/NºAsuntos!G15," - ")</f>
        <v>0.13265023539185822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189</v>
      </c>
      <c r="AC17" s="226">
        <f>IF(ISNUMBER(Datos!Q17),Datos!Q17," - ")</f>
        <v>8</v>
      </c>
      <c r="AD17" s="334"/>
      <c r="AE17" s="484"/>
      <c r="AF17" s="332">
        <f>IF(ISNUMBER(Datos!L17),Datos!L17,"-")</f>
        <v>101</v>
      </c>
      <c r="AG17" s="334"/>
      <c r="AH17" s="334"/>
      <c r="AI17" s="334"/>
      <c r="AJ17" s="334"/>
      <c r="AK17" s="334"/>
      <c r="AL17" s="479"/>
      <c r="AM17" s="335">
        <f>IF(ISNUMBER(Datos!R17),Datos!R17," - ")</f>
        <v>29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48</v>
      </c>
      <c r="BD17" s="229">
        <f>IF(ISNUMBER(Datos!N17),Datos!N17," - ")</f>
        <v>99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0.9642857142857143</v>
      </c>
      <c r="BH17" s="260">
        <f>IF(ISNUMBER(((IF(D_I="SI",Datos!L17/Datos!K17,(Datos!L17+Datos!AF17)/(Datos!K17+Datos!AE17)))*11)/factor_trimestre),((IF(D_I="SI",Datos!L17/Datos!K17,(Datos!L17+Datos!AF17)/(Datos!K17+Datos!AE17)))*11)/factor_trimestre," - ")</f>
        <v>1.6031746031746033</v>
      </c>
      <c r="BI17" s="243">
        <f>IF(ISNUMBER('Resol  Asuntos'!D17/NºAsuntos!G17),'Resol  Asuntos'!D17/NºAsuntos!G17," - ")</f>
        <v>0.25396825396825395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2240</v>
      </c>
      <c r="G18" s="898">
        <f>SUBTOTAL(9,G15:G17)</f>
        <v>2279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3800</v>
      </c>
      <c r="AC18" s="899">
        <f t="shared" si="4"/>
        <v>184</v>
      </c>
      <c r="AD18" s="899">
        <f t="shared" si="4"/>
        <v>0</v>
      </c>
      <c r="AE18" s="899">
        <f t="shared" si="4"/>
        <v>0</v>
      </c>
      <c r="AF18" s="899">
        <f t="shared" si="4"/>
        <v>2384</v>
      </c>
      <c r="AG18" s="899">
        <f t="shared" si="4"/>
        <v>0</v>
      </c>
      <c r="AH18" s="899">
        <f t="shared" si="4"/>
        <v>0</v>
      </c>
      <c r="AI18" s="899">
        <f t="shared" si="4"/>
        <v>0</v>
      </c>
      <c r="AJ18" s="899">
        <f t="shared" si="4"/>
        <v>0</v>
      </c>
      <c r="AK18" s="899">
        <f t="shared" si="4"/>
        <v>0</v>
      </c>
      <c r="AL18" s="899">
        <f t="shared" si="4"/>
        <v>0</v>
      </c>
      <c r="AM18" s="899">
        <f t="shared" si="4"/>
        <v>400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527</v>
      </c>
      <c r="BD18" s="899">
        <f t="shared" si="4"/>
        <v>2617</v>
      </c>
      <c r="BE18" s="899">
        <f t="shared" si="4"/>
        <v>0</v>
      </c>
      <c r="BF18" s="899">
        <f t="shared" si="4"/>
        <v>0</v>
      </c>
      <c r="BG18" s="899">
        <f>IF(ISNUMBER(Datos!K18/Datos!J18),Datos!K18/Datos!J18," - ")</f>
        <v>0.98701298701298701</v>
      </c>
      <c r="BH18" s="903">
        <f>IF(ISNUMBER(((Datos!L18/Datos!K18)*11)/factor_trimestre),((Datos!L18/Datos!K18)*11)/factor_trimestre," - ")</f>
        <v>1.8821052631578947</v>
      </c>
      <c r="BI18" s="899">
        <f>SUBTOTAL(9,BI15:BI17)</f>
        <v>0.38661848936011217</v>
      </c>
      <c r="BJ18" s="899">
        <f>SUBTOTAL(9,BJ15:BJ17)</f>
        <v>0</v>
      </c>
      <c r="BK18" s="899">
        <f>SUBTOTAL(9,BK15:BK17)</f>
        <v>0</v>
      </c>
      <c r="BL18" s="899">
        <f>IF(ISNUMBER((I18-AB18+L18)/(F18)),(I18-AB18+L18)/(F18)," - ")</f>
        <v>-1.6964285714285714</v>
      </c>
      <c r="BM18" s="905">
        <f>IF(ISNUMBER((Datos!P18-Datos!Q18)/(Datos!R18-Datos!P18+Datos!Q18)),(Datos!P18-Datos!Q18)/(Datos!R18-Datos!P18+Datos!Q18)," - ")</f>
        <v>-0.11894273127753303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2262</v>
      </c>
      <c r="G19" s="820">
        <f t="shared" si="6"/>
        <v>2301</v>
      </c>
      <c r="H19" s="822">
        <f t="shared" si="6"/>
        <v>0</v>
      </c>
      <c r="I19" s="820">
        <f t="shared" si="6"/>
        <v>0</v>
      </c>
      <c r="J19" s="822">
        <f t="shared" si="6"/>
        <v>0</v>
      </c>
      <c r="K19" s="822">
        <f t="shared" si="6"/>
        <v>0</v>
      </c>
      <c r="L19" s="881">
        <f t="shared" si="6"/>
        <v>0</v>
      </c>
      <c r="M19" s="881">
        <f t="shared" si="6"/>
        <v>0</v>
      </c>
      <c r="N19" s="881">
        <f t="shared" si="6"/>
        <v>148</v>
      </c>
      <c r="O19" s="881">
        <f t="shared" si="6"/>
        <v>0</v>
      </c>
      <c r="P19" s="881">
        <f t="shared" si="6"/>
        <v>0</v>
      </c>
      <c r="Q19" s="822">
        <f t="shared" si="6"/>
        <v>586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3842</v>
      </c>
      <c r="AC19" s="821">
        <f t="shared" si="7"/>
        <v>511</v>
      </c>
      <c r="AD19" s="821">
        <f t="shared" si="7"/>
        <v>0</v>
      </c>
      <c r="AE19" s="821">
        <f t="shared" si="7"/>
        <v>0</v>
      </c>
      <c r="AF19" s="828">
        <f t="shared" si="7"/>
        <v>2399</v>
      </c>
      <c r="AG19" s="828">
        <f t="shared" si="7"/>
        <v>0</v>
      </c>
      <c r="AH19" s="828">
        <f t="shared" si="7"/>
        <v>170</v>
      </c>
      <c r="AI19" s="828">
        <f t="shared" si="7"/>
        <v>0</v>
      </c>
      <c r="AJ19" s="821">
        <f t="shared" si="7"/>
        <v>0</v>
      </c>
      <c r="AK19" s="828">
        <f t="shared" si="7"/>
        <v>0</v>
      </c>
      <c r="AL19" s="828">
        <f t="shared" si="7"/>
        <v>0</v>
      </c>
      <c r="AM19" s="828">
        <f t="shared" si="7"/>
        <v>8420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1759</v>
      </c>
      <c r="BD19" s="820">
        <f t="shared" si="7"/>
        <v>5168</v>
      </c>
      <c r="BE19" s="820">
        <f t="shared" si="7"/>
        <v>0</v>
      </c>
      <c r="BF19" s="830">
        <f t="shared" si="7"/>
        <v>0</v>
      </c>
      <c r="BG19" s="915">
        <f>IF(ISNUMBER(Datos!K19/Datos!J19),Datos!K19/Datos!J19," - ")</f>
        <v>1.2955132343447386</v>
      </c>
      <c r="BH19" s="915">
        <f>IF(ISNUMBER(((Datos!L19/Datos!K19)*11)/factor_trimestre),((Datos!L19/Datos!K19)*11)/factor_trimestre," - ")</f>
        <v>3.6151737884639341</v>
      </c>
      <c r="BI19" s="813">
        <f>IF(ISNUMBER(Datos!J19/Datos!I19),Datos!J19/Datos!I19," - ")</f>
        <v>0.56875344226179547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-1.6984969053934571</v>
      </c>
      <c r="BM19" s="889">
        <f>IF(ISNUMBER((Datos!P19-Datos!Q19+R19)/(Datos!R19-Datos!P19+Datos!Q19-R19)),(Datos!P19-Datos!Q19+R19)/(Datos!R19-Datos!P19+Datos!Q19-R19)," - ")</f>
        <v>8.9874176153385259E-3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920.4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2.7284509239574835</v>
      </c>
      <c r="F21" s="551">
        <f>IF(ISNUMBER(STDEV(F8:F18)),STDEV(F8:F18),"-")</f>
        <v>1280.5628970625899</v>
      </c>
      <c r="G21" s="552">
        <f>IF(ISNUMBER(STDEV(G8:G18)),STDEV(G8:G18),"-")</f>
        <v>1199.0163885452109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1981.7794276861389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535.07743987825415</v>
      </c>
      <c r="BD21" s="551"/>
      <c r="BE21" s="551">
        <f>IF(ISNUMBER(STDEV(BE8:BE18)),STDEV(BE8:BE18),"-")</f>
        <v>0</v>
      </c>
      <c r="BF21" s="556">
        <f>IF(ISNUMBER(STDEV(BF8:BF18)),STDEV(BF8:BF18),"-")</f>
        <v>0</v>
      </c>
      <c r="BG21" s="775">
        <f>IF(ISNUMBER(STDEV(BG8:BG18)),STDEV(BG8:BG18),"-")</f>
        <v>0.39420568705408648</v>
      </c>
      <c r="BH21" s="776">
        <f>IF(ISNUMBER(STDEV(BH8:BH18)),STDEV(BH8:BH18),"-")</f>
        <v>1.861148344730317</v>
      </c>
      <c r="BI21" s="249">
        <f>IF(ISNUMBER(STDEV(BI8:BI18)),STDEV(BI8:BI18),"-")</f>
        <v>0.10444500229862236</v>
      </c>
      <c r="BJ21" s="230" t="str">
        <f>IF(ISNUMBER(BL21/BM21),BL21/BM21," - ")</f>
        <v xml:space="preserve"> - </v>
      </c>
      <c r="BK21" s="575"/>
      <c r="BL21" s="559">
        <f>IF(ISNUMBER(STDEV(BL8:BL18)),STDEV(BL8:BL18),"-")</f>
        <v>0.15037498106402236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wGP0tyU6Bc/xVJbn/3C64DN+9Muwy4oEzHYXlUBkGFZ1HeVi2BdyEZLwfZpaax0BxAMWRc5seRAUqB0PtwxLw==" saltValue="5InpavR1g/R3GJSwBLzs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LAS PALMAS  Resumenes por Partidos Judiciales  ARRECIFE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454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327</v>
      </c>
      <c r="AA9" s="332" t="str">
        <f>IF(ISNUMBER(IF(J_V="SI",Datos!L9,Datos!L9+Datos!AB9)-IF(Monitorios="SI",Datos!CD9,0)),
                          IF(J_V="SI",Datos!L9,Datos!L9+Datos!AB9)-IF(Monitorios="SI",Datos!CD9,0),
                          " - ")</f>
        <v xml:space="preserve"> - </v>
      </c>
      <c r="AB9" s="334"/>
      <c r="AC9" s="334"/>
      <c r="AD9" s="484"/>
      <c r="AE9" s="484">
        <f>IF(ISNUMBER(Datos!R9),Datos!R9," - ")</f>
        <v>7980</v>
      </c>
      <c r="AF9" s="229" t="str">
        <f>IF(ISNUMBER(Datos!BV9),Datos!BV9," - ")</f>
        <v xml:space="preserve"> - </v>
      </c>
      <c r="AG9" s="225" t="str">
        <f>IF(ISNUMBER(Datos!DV9),Datos!DV9," - ")</f>
        <v xml:space="preserve"> - </v>
      </c>
      <c r="AH9" s="298"/>
      <c r="AI9" s="227"/>
      <c r="AJ9" s="225">
        <f>IF(ISNUMBER(Datos!M9),Datos!M9," - ")</f>
        <v>1211</v>
      </c>
      <c r="AK9" s="229">
        <f>IF(ISNUMBER(Datos!N9),Datos!N9," - ")</f>
        <v>2537</v>
      </c>
      <c r="AL9" s="229" t="str">
        <f>IF(ISNUMBER(Datos!BW9),Datos!BW9," - ")</f>
        <v xml:space="preserve"> - </v>
      </c>
      <c r="AM9" s="228" t="str">
        <f>IF(ISNUMBER(Datos!BX9),Datos!BX9," - ")</f>
        <v xml:space="preserve"> - </v>
      </c>
      <c r="AN9" s="243"/>
      <c r="AO9" s="260">
        <f>IF(ISNUMBER(((NºAsuntos!I9/NºAsuntos!G9)*11)/factor_trimestre),((NºAsuntos!I9/NºAsuntos!G9)*11)/factor_trimestre," - ")</f>
        <v>5.1682480907197403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1.6172163504393225E-2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0</v>
      </c>
      <c r="AA10" s="332">
        <f>IF(ISNUMBER(Datos!L10),Datos!L10,"-")</f>
        <v>15</v>
      </c>
      <c r="AB10" s="334"/>
      <c r="AC10" s="334"/>
      <c r="AD10" s="484"/>
      <c r="AE10" s="484">
        <f>IF(ISNUMBER(Datos!R10),Datos!R10," - ")</f>
        <v>40</v>
      </c>
      <c r="AF10" s="229" t="str">
        <f>IF(ISNUMBER(Datos!BV10),Datos!BV10," - ")</f>
        <v xml:space="preserve"> - </v>
      </c>
      <c r="AG10" s="225" t="str">
        <f>IF(ISNUMBER(Datos!DV10),Datos!DV10," - ")</f>
        <v xml:space="preserve"> - </v>
      </c>
      <c r="AH10" s="298"/>
      <c r="AI10" s="227"/>
      <c r="AJ10" s="225">
        <f>IF(ISNUMBER(Datos!M10),Datos!M10," - ")</f>
        <v>21</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1.0714285714285716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5.2631578947368418E-2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456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327</v>
      </c>
      <c r="AA13" s="900">
        <f t="shared" si="2"/>
        <v>15</v>
      </c>
      <c r="AB13" s="900">
        <f t="shared" si="2"/>
        <v>0</v>
      </c>
      <c r="AC13" s="900">
        <f t="shared" si="2"/>
        <v>0</v>
      </c>
      <c r="AD13" s="900">
        <f t="shared" si="2"/>
        <v>0</v>
      </c>
      <c r="AE13" s="900">
        <f t="shared" si="2"/>
        <v>8020</v>
      </c>
      <c r="AF13" s="908">
        <f t="shared" si="2"/>
        <v>0</v>
      </c>
      <c r="AG13" s="908">
        <f t="shared" si="2"/>
        <v>0</v>
      </c>
      <c r="AH13" s="908">
        <f t="shared" si="2"/>
        <v>0</v>
      </c>
      <c r="AI13" s="908">
        <f t="shared" si="2"/>
        <v>0</v>
      </c>
      <c r="AJ13" s="908">
        <f t="shared" si="2"/>
        <v>1232</v>
      </c>
      <c r="AK13" s="908">
        <f t="shared" si="2"/>
        <v>2551</v>
      </c>
      <c r="AL13" s="908">
        <f t="shared" si="2"/>
        <v>0</v>
      </c>
      <c r="AM13" s="908">
        <f t="shared" si="2"/>
        <v>0</v>
      </c>
      <c r="AN13" s="908">
        <f t="shared" si="2"/>
        <v>0</v>
      </c>
      <c r="AO13" s="904">
        <f>IF(ISNUMBER(((NºAsuntos!I13/NºAsuntos!G13)*11)/factor_trimestre),((NºAsuntos!I13/NºAsuntos!G13)*11)/factor_trimestre," - ")</f>
        <v>5.1288104515241812</v>
      </c>
      <c r="AP13" s="910" t="str">
        <f>IF(ISNUMBER(Datos!CI13/Datos!CJ13),Datos!CI13/Datos!CJ13," - ")</f>
        <v xml:space="preserve"> - </v>
      </c>
      <c r="AQ13" s="928">
        <f t="shared" ref="AQ13:AV13" si="3">SUBTOTAL(9,AQ9:AQ12)</f>
        <v>0</v>
      </c>
      <c r="AR13" s="928">
        <f t="shared" si="3"/>
        <v>6.8803742451761643E-2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2240</v>
      </c>
      <c r="G15" s="225">
        <f>IF(ISNUMBER(IF(D_I="SI",Datos!I15,Datos!I15+Datos!AC15)),IF(D_I="SI",Datos!I15,Datos!I15+Datos!AC15)," - ")</f>
        <v>2187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118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3611</v>
      </c>
      <c r="Z15" s="619">
        <f>IF(ISNUMBER(Datos!Q15),Datos!Q15," - ")</f>
        <v>176</v>
      </c>
      <c r="AA15" s="332">
        <f>IF(ISNUMBER(IF(D_I="SI",Datos!L15,Datos!L15+Datos!AF15)),IF(D_I="SI",Datos!L15,Datos!L15+Datos!AF15)," - ")</f>
        <v>2283</v>
      </c>
      <c r="AB15" s="334"/>
      <c r="AC15" s="334"/>
      <c r="AD15" s="484"/>
      <c r="AE15" s="484">
        <f>IF(ISNUMBER(Datos!R15),Datos!R15," - ")</f>
        <v>371</v>
      </c>
      <c r="AF15" s="229" t="str">
        <f>IF(ISNUMBER(Datos!BV15),Datos!BV15," - ")</f>
        <v xml:space="preserve"> - </v>
      </c>
      <c r="AG15" s="225"/>
      <c r="AH15" s="298"/>
      <c r="AI15" s="227"/>
      <c r="AJ15" s="225">
        <f>IF(ISNUMBER(Datos!M15),Datos!M15," - ")</f>
        <v>479</v>
      </c>
      <c r="AK15" s="229">
        <f>IF(ISNUMBER(Datos!N15),Datos!N15," - ")</f>
        <v>2518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1.8967045139850456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189</v>
      </c>
      <c r="Z17" s="619">
        <f>IF(ISNUMBER(Datos!Q17),Datos!Q17," - ")</f>
        <v>8</v>
      </c>
      <c r="AA17" s="332">
        <f>IF(ISNUMBER(Datos!L17),Datos!L17,"-")</f>
        <v>101</v>
      </c>
      <c r="AB17" s="334"/>
      <c r="AC17" s="334"/>
      <c r="AD17" s="484"/>
      <c r="AE17" s="484">
        <f>IF(ISNUMBER(Datos!R17),Datos!R17," - ")</f>
        <v>29</v>
      </c>
      <c r="AF17" s="229" t="str">
        <f>IF(ISNUMBER(Datos!BV17),Datos!BV17," - ")</f>
        <v xml:space="preserve"> - </v>
      </c>
      <c r="AG17" s="225" t="str">
        <f>IF(ISNUMBER(Datos!DV17),Datos!DV17," - ")</f>
        <v xml:space="preserve"> - </v>
      </c>
      <c r="AH17" s="298"/>
      <c r="AI17" s="227"/>
      <c r="AJ17" s="225">
        <f>IF(ISNUMBER(Datos!M17),Datos!M17," - ")</f>
        <v>48</v>
      </c>
      <c r="AK17" s="229">
        <f>IF(ISNUMBER(Datos!N17),Datos!N17," - ")</f>
        <v>99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1.6031746031746033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2240</v>
      </c>
      <c r="G18" s="898">
        <f>SUBTOTAL(9,G15:G17)</f>
        <v>2279</v>
      </c>
      <c r="H18" s="932">
        <f>SUBTOTAL(9,H15:H17)</f>
        <v>0</v>
      </c>
      <c r="I18" s="911">
        <f>SUBTOTAL(9,I15:I17)</f>
        <v>0</v>
      </c>
      <c r="J18" s="867">
        <f>SUBTOTAL(9,J14:J17)</f>
        <v>0</v>
      </c>
      <c r="K18" s="932">
        <f t="shared" ref="K18:S18" si="4">SUBTOTAL(9,K15:K17)</f>
        <v>0</v>
      </c>
      <c r="L18" s="932">
        <f t="shared" si="4"/>
        <v>0</v>
      </c>
      <c r="M18" s="932">
        <f t="shared" si="4"/>
        <v>0</v>
      </c>
      <c r="N18" s="932">
        <f t="shared" si="4"/>
        <v>130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3800</v>
      </c>
      <c r="Z18" s="932">
        <f t="shared" si="5"/>
        <v>184</v>
      </c>
      <c r="AA18" s="932">
        <f t="shared" si="5"/>
        <v>2384</v>
      </c>
      <c r="AB18" s="932">
        <f t="shared" si="5"/>
        <v>0</v>
      </c>
      <c r="AC18" s="932">
        <f t="shared" si="5"/>
        <v>0</v>
      </c>
      <c r="AD18" s="932">
        <f t="shared" si="5"/>
        <v>0</v>
      </c>
      <c r="AE18" s="932">
        <f t="shared" si="5"/>
        <v>400</v>
      </c>
      <c r="AF18" s="932">
        <f t="shared" si="5"/>
        <v>0</v>
      </c>
      <c r="AG18" s="932">
        <f t="shared" si="5"/>
        <v>0</v>
      </c>
      <c r="AH18" s="932">
        <f t="shared" si="5"/>
        <v>0</v>
      </c>
      <c r="AI18" s="932">
        <f t="shared" si="5"/>
        <v>0</v>
      </c>
      <c r="AJ18" s="932">
        <f t="shared" si="5"/>
        <v>527</v>
      </c>
      <c r="AK18" s="932">
        <f t="shared" si="5"/>
        <v>2617</v>
      </c>
      <c r="AL18" s="932">
        <f t="shared" si="5"/>
        <v>0</v>
      </c>
      <c r="AM18" s="932">
        <f t="shared" si="5"/>
        <v>0</v>
      </c>
      <c r="AN18" s="932">
        <f t="shared" si="5"/>
        <v>0</v>
      </c>
      <c r="AO18" s="934">
        <f>IF(ISNUMBER(((NºAsuntos!I18/NºAsuntos!G18)*11)/factor_trimestre),((NºAsuntos!I18/NºAsuntos!G18)*11)/factor_trimestre," - ")</f>
        <v>1.8821052631578947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2262</v>
      </c>
      <c r="G19" s="820">
        <f t="shared" si="7"/>
        <v>2301</v>
      </c>
      <c r="H19" s="821">
        <f t="shared" si="7"/>
        <v>0</v>
      </c>
      <c r="I19" s="820">
        <f t="shared" si="7"/>
        <v>0</v>
      </c>
      <c r="J19" s="822">
        <f t="shared" si="7"/>
        <v>0</v>
      </c>
      <c r="K19" s="820">
        <f t="shared" si="7"/>
        <v>0</v>
      </c>
      <c r="L19" s="823">
        <f t="shared" si="7"/>
        <v>0</v>
      </c>
      <c r="M19" s="820">
        <f t="shared" si="7"/>
        <v>0</v>
      </c>
      <c r="N19" s="821">
        <f t="shared" si="7"/>
        <v>586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3842</v>
      </c>
      <c r="Z19" s="827">
        <f t="shared" si="8"/>
        <v>511</v>
      </c>
      <c r="AA19" s="828">
        <f t="shared" si="8"/>
        <v>2399</v>
      </c>
      <c r="AB19" s="828">
        <f t="shared" si="8"/>
        <v>0</v>
      </c>
      <c r="AC19" s="828">
        <f t="shared" si="8"/>
        <v>0</v>
      </c>
      <c r="AD19" s="829">
        <f t="shared" si="8"/>
        <v>0</v>
      </c>
      <c r="AE19" s="829">
        <f t="shared" si="8"/>
        <v>8420</v>
      </c>
      <c r="AF19" s="830">
        <f t="shared" si="8"/>
        <v>0</v>
      </c>
      <c r="AG19" s="831">
        <f t="shared" si="8"/>
        <v>0</v>
      </c>
      <c r="AH19" s="832">
        <f t="shared" si="8"/>
        <v>0</v>
      </c>
      <c r="AI19" s="830">
        <f t="shared" si="8"/>
        <v>0</v>
      </c>
      <c r="AJ19" s="820">
        <f t="shared" si="8"/>
        <v>1759</v>
      </c>
      <c r="AK19" s="820">
        <f t="shared" si="8"/>
        <v>5168</v>
      </c>
      <c r="AL19" s="820">
        <f t="shared" si="8"/>
        <v>0</v>
      </c>
      <c r="AM19" s="833">
        <f t="shared" si="8"/>
        <v>0</v>
      </c>
      <c r="AN19" s="823">
        <f>IF(ISNUMBER(Datos!K19/Datos!J19),Datos!K19/Datos!J19," - ")</f>
        <v>1.2955132343447386</v>
      </c>
      <c r="AO19" s="823">
        <f>IF(ISNUMBER(FIND("06",Criterios!A8,1)),(IF(ISNUMBER(((Datos!R19/Datos!Q19)*11)/factor_trimestre),((Datos!R19/Datos!Q19)*11)/factor_trimestre," - ")),(IF(ISNUMBER(((Datos!L19/Datos!K19)*11)/factor_trimestre),((Datos!L19/Datos!K19)*11)/factor_trimestre," - ")))</f>
        <v>3.6151737884639341</v>
      </c>
      <c r="AP19" s="834" t="str">
        <f>IF(ISNUMBER(Datos!CI19/Datos!CJ19),Datos!CI19/Datos!CJ19," - ")</f>
        <v xml:space="preserve"> - </v>
      </c>
      <c r="AQ19" s="834">
        <f>IF(OR(ISNUMBER(FIND("01",Criterios!A8,1)),ISNUMBER(FIND("02",Criterios!A8,1)),ISNUMBER(FIND("03",Criterios!A8,1)),ISNUMBER(FIND("04",Criterios!A8,1))),(J19-Y19+K19)/(F19-K19),(I19-Y19+K19)/(F19-K19))</f>
        <v>-1.6984969053934571</v>
      </c>
      <c r="AR19" s="834">
        <f>IF(ISNUMBER((Datos!P19-Datos!Q19+O19)/(Datos!R19-Datos!P19+Datos!Q19-O19)),(Datos!P19-Datos!Q19+O19)/(Datos!R19-Datos!P19+Datos!Q19-O19)," - ")</f>
        <v>8.9874176153385259E-3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920.4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1280.5628970625899</v>
      </c>
      <c r="G21" s="552">
        <f>IF(ISNUMBER(STDEV(G8:G18)),STDEV(G8:G18),"-")</f>
        <v>1199.0163885452109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535.07743987825415</v>
      </c>
      <c r="AK21" s="252"/>
      <c r="AL21" s="252">
        <f>IF(ISNUMBER(STDEV(AL8:AL18)),STDEV(AL8:AL18),"-")</f>
        <v>0</v>
      </c>
      <c r="AM21" s="254">
        <f>IF(ISNUMBER(STDEV(AM8:AM18)),STDEV(AM8:AM18),"-")</f>
        <v>0</v>
      </c>
      <c r="AN21" s="539">
        <f>IF(ISNUMBER(STDEV(AN8:AN18)),STDEV(AN8:AN18),"-")</f>
        <v>0</v>
      </c>
      <c r="AO21" s="540">
        <f>IF(ISNUMBER(STDEV(AO8:AO18)),STDEV(AO8:AO18),"-")</f>
        <v>1.8498849688550105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MxWOKSh0F5mAb6RbQ/nvfv9iId+NS+b9IA5w/DGSe/1PYvvzcu4V8Hy/oCV0BEadTIk416TyLKsRxg9sgea8A==" saltValue="xF3G0KrRZw7B8cmXOiFk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q/e4HJ/5PuADRkHzLrLsLBF163zApKN8ZxwZk33V7Qq7g4JyPFf7LpQOpKNZoxHN/f/pQFyI5kXxoPd5tY+jg==" saltValue="9VROpYhIQW/fbIKnEqmj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1FMXZx210HNO+XQbVDSAPl+T+grXGNompkPKCQjn8KjkN4RRejPHBIX2GqcF+PKK1VvAZjUecq6nIlgY5ZFg==" saltValue="Sd1cp8Z4HvG0p4Af6nvF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ARRECIFE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0.2823745129498052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0.19966893294105584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97EgZ8PeX6Z1Ggsm2sy1y3Ft5NGWWLLm9QgCzbPgDgBAKuX/ZT4RDT4alUrqEhDwulMzftS1o8Rtg4TS21nWA==" saltValue="iRRASil1b1XQaCzo5JQi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SV3vGP7kCoYGAxPlp4gVhwHCca26BTHxHvY1ffEiRdOTnRu0CmUXjhCbk+H3f4CRuuXo7c33aofWHMRwSDvGg==" saltValue="vMgE+NdwDcFXKYr2RwEC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LAS PALMAS</v>
      </c>
      <c r="D3" s="375"/>
      <c r="E3" s="375"/>
      <c r="F3" s="375"/>
      <c r="BQ3" s="471"/>
    </row>
    <row r="4" spans="1:69" ht="13.5" thickBot="1">
      <c r="A4" s="375"/>
      <c r="B4" s="391" t="str">
        <f>Criterios!A11 &amp;"  "&amp;Criterios!B11</f>
        <v>Resumenes por Partidos Judiciales  ARRECIFE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8751</v>
      </c>
      <c r="D9" s="404">
        <f>IF(ISNUMBER(C9/Datos!BH9),C9/Datos!BH9," - ")</f>
        <v>1750.2</v>
      </c>
      <c r="E9" s="403">
        <f>IF(ISNUMBER(IF(J_V="SI",Datos!J9,Datos!J9+Datos!Z9)),IF(J_V="SI",Datos!J9,Datos!J9+Datos!Z9)," - ")</f>
        <v>2459</v>
      </c>
      <c r="F9" s="404">
        <f>IF(ISNUMBER(E9/B9),E9/B9," - ")</f>
        <v>409.83333333333331</v>
      </c>
      <c r="G9" s="403">
        <f>IF(ISNUMBER(IF(J_V="SI",Datos!K9,Datos!K9+Datos!AA9)),IF(J_V="SI",Datos!K9,Datos!K9+Datos!AA9)," - ")</f>
        <v>4321</v>
      </c>
      <c r="H9" s="404">
        <f>IF(ISNUMBER(G9/B9),G9/B9," - ")</f>
        <v>720.16666666666663</v>
      </c>
      <c r="I9" s="403">
        <f>IF(ISNUMBER(IF(J_V="SI",Datos!L9,Datos!L9+Datos!AB9)),IF(J_V="SI",Datos!L9,Datos!L9+Datos!AB9)," - ")</f>
        <v>7444</v>
      </c>
      <c r="J9" s="404">
        <f>IF(ISNUMBER(I9/B9),I9/B9," - ")</f>
        <v>1240.6666666666667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35</v>
      </c>
      <c r="F10" s="404">
        <f>IF(ISNUMBER(E10/B10),E10/B10," - ")</f>
        <v>35</v>
      </c>
      <c r="G10" s="403">
        <f>IF(ISNUMBER(Datos!K10),Datos!K10," - ")</f>
        <v>42</v>
      </c>
      <c r="H10" s="404">
        <f>IF(ISNUMBER(G10/B10),G10/B10," - ")</f>
        <v>42</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8773</v>
      </c>
      <c r="D13" s="850" t="str">
        <f>IF(ISNUMBER(C13/Datos!BI13),C13/Datos!BI13," - ")</f>
        <v xml:space="preserve"> - </v>
      </c>
      <c r="E13" s="849">
        <f>SUBTOTAL(9,E8:E12)</f>
        <v>2494</v>
      </c>
      <c r="F13" s="850">
        <f>IF(ISNUMBER(E13/B13),E13/B13," - ")</f>
        <v>415.66666666666669</v>
      </c>
      <c r="G13" s="849">
        <f>SUBTOTAL(9,G8:G12)</f>
        <v>4363</v>
      </c>
      <c r="H13" s="850">
        <f>IF(ISNUMBER(G13/B13),G13/B13," - ")</f>
        <v>727.16666666666663</v>
      </c>
      <c r="I13" s="849">
        <f>SUBTOTAL(9,I8:I12)</f>
        <v>7459</v>
      </c>
      <c r="J13" s="850">
        <f>IF(ISNUMBER(I13/B13),I13/B13," - ")</f>
        <v>1243.1666666666667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2187</v>
      </c>
      <c r="D15" s="404">
        <f>IF(ISNUMBER(C15/Datos!BH15),C15/Datos!BH15," - ")</f>
        <v>546.75</v>
      </c>
      <c r="E15" s="403">
        <f>IF(ISNUMBER(IF(D_I="SI",Datos!J15,Datos!J15+Datos!AD15)),IF(D_I="SI",Datos!J15,Datos!J15+Datos!AD15)," - ")</f>
        <v>3654</v>
      </c>
      <c r="F15" s="404">
        <f>IF(ISNUMBER(E15/B15),E15/B15," - ")</f>
        <v>913.5</v>
      </c>
      <c r="G15" s="403">
        <f>IF(ISNUMBER(IF(D_I="SI",Datos!K15,Datos!K15+Datos!AE15)),IF(D_I="SI",Datos!K15,Datos!K15+Datos!AE15)," - ")</f>
        <v>3611</v>
      </c>
      <c r="H15" s="404">
        <f>IF(ISNUMBER(G15/B15),G15/B15," - ")</f>
        <v>902.75</v>
      </c>
      <c r="I15" s="403">
        <f>IF(ISNUMBER(IF(D_I="SI",Datos!L15,Datos!L15+Datos!AF15)),IF(D_I="SI",Datos!L15,Datos!L15+Datos!AF15)," - ")</f>
        <v>2283</v>
      </c>
      <c r="J15" s="404">
        <f>IF(ISNUMBER(I15/B15),I15/B15," - ")</f>
        <v>570.75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196</v>
      </c>
      <c r="F17" s="404">
        <f>IF(ISNUMBER(E17/B17),E17/B17," - ")</f>
        <v>196</v>
      </c>
      <c r="G17" s="403">
        <f>IF(ISNUMBER(IF(D_I="SI",Datos!K17,Datos!K17+Datos!AE17)),IF(D_I="SI",Datos!K17,Datos!K17+Datos!AE17)," - ")</f>
        <v>189</v>
      </c>
      <c r="H17" s="404">
        <f>IF(ISNUMBER(G17/B17),G17/B17," - ")</f>
        <v>189</v>
      </c>
      <c r="I17" s="403">
        <f>IF(ISNUMBER(IF(D_I="SI",Datos!L17,Datos!L17+Datos!AF17)),IF(D_I="SI",Datos!L17,Datos!L17+Datos!AF17)," - ")</f>
        <v>101</v>
      </c>
      <c r="J17" s="404">
        <f>IF(ISNUMBER(I17/B17),I17/B17," - ")</f>
        <v>101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2279</v>
      </c>
      <c r="D18" s="850" t="str">
        <f>IF(ISNUMBER(C18/Datos!BI18),C18/Datos!BI18," - ")</f>
        <v xml:space="preserve"> - </v>
      </c>
      <c r="E18" s="849">
        <f>SUBTOTAL(9,E14:E17)</f>
        <v>3850</v>
      </c>
      <c r="F18" s="850">
        <f>IF(ISNUMBER(E18/B18),E18/B18," - ")</f>
        <v>962.5</v>
      </c>
      <c r="G18" s="849">
        <f>SUBTOTAL(9,G14:G17)</f>
        <v>3800</v>
      </c>
      <c r="H18" s="850">
        <f>IF(ISNUMBER(G18/B18),G18/B18," - ")</f>
        <v>950</v>
      </c>
      <c r="I18" s="849">
        <f>SUBTOTAL(9,I14:I17)</f>
        <v>2384</v>
      </c>
      <c r="J18" s="850">
        <f>IF(ISNUMBER(I18/B18),I18/B18," - ")</f>
        <v>596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11052</v>
      </c>
      <c r="D19" s="795" t="str">
        <f>IF(ISNUMBER(C19/Datos!BI19),C19/Datos!BI19," - ")</f>
        <v xml:space="preserve"> - </v>
      </c>
      <c r="E19" s="794">
        <f>SUBTOTAL(9,E9:E18)</f>
        <v>6344</v>
      </c>
      <c r="F19" s="795">
        <f>IF(ISNUMBER(E19/B19),E19/B19," - ")</f>
        <v>634.4</v>
      </c>
      <c r="G19" s="794">
        <f>SUBTOTAL(9,G9:G18)</f>
        <v>8163</v>
      </c>
      <c r="H19" s="795">
        <f>IF(ISNUMBER(G19/B19),G19/B19," - ")</f>
        <v>816.3</v>
      </c>
      <c r="I19" s="794">
        <f>SUBTOTAL(9,I9:I18)</f>
        <v>9843</v>
      </c>
      <c r="J19" s="795">
        <f>IF(ISNUMBER(I19/B19),I19/B19," - ")</f>
        <v>984.3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Cj6Lx+3LsSKy4wGyEqjoR8fsFNftLSaunvvImhRenW9Aa6JfKm0tBS6aUG4fOc3pre8+yExvJR0nUqMhFN4BA==" saltValue="mJBSZxkW+FCxV9D4rWA1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LAS PALMAS  Resumenes por Partidos Judiciales  ARRECIFE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1.0714285714285716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0</v>
      </c>
      <c r="AE13" s="939">
        <f t="shared" si="1"/>
        <v>0</v>
      </c>
      <c r="AF13" s="939">
        <f t="shared" si="1"/>
        <v>15</v>
      </c>
      <c r="AG13" s="939">
        <f t="shared" si="1"/>
        <v>0</v>
      </c>
      <c r="AH13" s="939">
        <f t="shared" si="1"/>
        <v>0</v>
      </c>
      <c r="AI13" s="939">
        <f t="shared" si="1"/>
        <v>0</v>
      </c>
      <c r="AJ13" s="939">
        <f t="shared" si="1"/>
        <v>0</v>
      </c>
      <c r="AK13" s="939">
        <f t="shared" si="1"/>
        <v>0</v>
      </c>
      <c r="AL13" s="939">
        <f t="shared" si="1"/>
        <v>21</v>
      </c>
      <c r="AM13" s="939">
        <f t="shared" si="1"/>
        <v>14</v>
      </c>
      <c r="AN13" s="939">
        <f t="shared" si="1"/>
        <v>0</v>
      </c>
      <c r="AO13" s="939">
        <f t="shared" si="1"/>
        <v>0</v>
      </c>
      <c r="AP13" s="944">
        <f>IF(ISNUMBER(((Datos!L13/Datos!K13)*11)/factor_trimestre),((Datos!L13/Datos!K13)*11)/factor_trimestre," - ")</f>
        <v>5.1731724627395321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-1.9090909090909092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1.8821052631578947</v>
      </c>
      <c r="AQ18" s="944">
        <f>IF(ISNUMBER(((Datos!M18/Datos!L18)*11)/factor_trimestre),((Datos!M18/Datos!L18)*11)/factor_trimestre," - ")</f>
        <v>0.66317114093959739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-0.11894273127753303</v>
      </c>
      <c r="AW18" s="946">
        <f>IF(ISNUMBER((Datos!Q18-Datos!R18)/(Datos!S18-Datos!Q18+Datos!R18)),(Datos!Q18-Datos!R18)/(Datos!S18-Datos!Q18+Datos!R18)," - ")</f>
        <v>-9.7870412324422298E-2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0</v>
      </c>
      <c r="AE19" s="957">
        <f t="shared" si="5"/>
        <v>0</v>
      </c>
      <c r="AF19" s="958">
        <f t="shared" si="5"/>
        <v>15</v>
      </c>
      <c r="AG19" s="958">
        <f t="shared" si="5"/>
        <v>0</v>
      </c>
      <c r="AH19" s="958">
        <f t="shared" si="5"/>
        <v>0</v>
      </c>
      <c r="AI19" s="958">
        <f t="shared" si="5"/>
        <v>0</v>
      </c>
      <c r="AJ19" s="959">
        <f t="shared" si="5"/>
        <v>0</v>
      </c>
      <c r="AK19" s="959">
        <f t="shared" si="5"/>
        <v>0</v>
      </c>
      <c r="AL19" s="951">
        <f t="shared" si="5"/>
        <v>21</v>
      </c>
      <c r="AM19" s="951">
        <f t="shared" si="5"/>
        <v>14</v>
      </c>
      <c r="AN19" s="951">
        <f t="shared" si="5"/>
        <v>0</v>
      </c>
      <c r="AO19" s="951">
        <f t="shared" si="5"/>
        <v>0</v>
      </c>
      <c r="AP19" s="951">
        <f>IF(ISNUMBER(((Datos!L19/Datos!K19)*11)/factor_trimestre),((Datos!L19/Datos!K19)*11)/factor_trimestre," - ")</f>
        <v>3.6151737884639341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-1.9090909090909092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8.9874176153385259E-3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2.1722731166753295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xXAcU5qVckGBHreKD9L74n/hS+tsgLAcmgV4wE7ONz13Hbh6ruo+QeoRR1bdefxy1AqaRwJ3rzA6UzrdM9duA==" saltValue="IVJ1pjXbWFbs2N89iIO0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ARRECIFE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1.2</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h8q2P9IpPVBSQRjHSDGKA4d9uVSMQ8FHE4mSsu5duSJiGMtqyAvjczMAhWdhyANSlfF/dCRZ4j6B5Z1lW2YZA==" saltValue="jlAmwkENDonMdroeiBs/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LAS PALMAS</v>
      </c>
      <c r="C3" s="391"/>
      <c r="D3" s="425"/>
      <c r="BZ3" s="471"/>
    </row>
    <row r="4" spans="1:78" ht="13.5" thickBot="1">
      <c r="B4" s="391" t="str">
        <f>Criterios!A11 &amp;"  "&amp;Criterios!B11</f>
        <v>Resumenes por Partidos Judiciales  ARRECIFE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1211</v>
      </c>
      <c r="E9" s="404">
        <f t="shared" ref="E9:E13" si="0">IF(ISNUMBER(D9/B9),D9/B9," - ")</f>
        <v>201.83333333333334</v>
      </c>
      <c r="F9" s="403">
        <f>IF(ISNUMBER(Datos!N9),Datos!N9," - ")</f>
        <v>2537</v>
      </c>
      <c r="G9" s="404">
        <f t="shared" ref="G9:G13" si="1">IF(ISNUMBER(F9/B9),F9/B9," - ")</f>
        <v>422.83333333333331</v>
      </c>
      <c r="H9" s="403">
        <f>IF(ISNUMBER(Datos!O9),Datos!O9," - ")</f>
        <v>665</v>
      </c>
      <c r="I9" s="404">
        <f>IF(ISNUMBER(H9/B9),H9/B9," - ")</f>
        <v>110.83333333333333</v>
      </c>
      <c r="BZ9" s="1186">
        <f>Datos!EZ9</f>
        <v>0</v>
      </c>
    </row>
    <row r="10" spans="1:78">
      <c r="A10" s="402" t="str">
        <f>Datos!A10</f>
        <v>Jdos. Violencia contra la mujer</v>
      </c>
      <c r="B10" s="427">
        <f>Datos!AO10</f>
        <v>1</v>
      </c>
      <c r="C10" s="410">
        <f>Datos!AQ10</f>
        <v>0</v>
      </c>
      <c r="D10" s="403">
        <f>IF(ISNUMBER(Datos!M10),Datos!M10," - ")</f>
        <v>21</v>
      </c>
      <c r="E10" s="404">
        <f>IF(ISNUMBER(D10/B10),D10/B10," - ")</f>
        <v>21</v>
      </c>
      <c r="F10" s="403">
        <f>IF(ISNUMBER(Datos!N10),Datos!N10," - ")</f>
        <v>14</v>
      </c>
      <c r="G10" s="404">
        <f>IF(ISNUMBER(F10/B10),F10/B10," - ")</f>
        <v>14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6</v>
      </c>
      <c r="C13" s="851">
        <f>Datos!AR13</f>
        <v>6</v>
      </c>
      <c r="D13" s="849">
        <f>SUBTOTAL(9,D9:D12)</f>
        <v>1232</v>
      </c>
      <c r="E13" s="850">
        <f t="shared" si="0"/>
        <v>205.33333333333334</v>
      </c>
      <c r="F13" s="849">
        <f>SUBTOTAL(9,F9:F12)</f>
        <v>2551</v>
      </c>
      <c r="G13" s="850">
        <f t="shared" si="1"/>
        <v>425.16666666666669</v>
      </c>
      <c r="H13" s="849">
        <f>SUBTOTAL(9,H9:H12)</f>
        <v>665</v>
      </c>
      <c r="I13" s="850">
        <f>IF(ISNUMBER(H13/B13),H13/B13," - ")</f>
        <v>110.83333333333333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479</v>
      </c>
      <c r="E15" s="404">
        <f t="shared" ref="E15:E18" si="3">IF(ISNUMBER(D15/B15),D15/B15," - ")</f>
        <v>119.75</v>
      </c>
      <c r="F15" s="403">
        <f>IF(ISNUMBER(Datos!N15),Datos!N15," - ")</f>
        <v>2518</v>
      </c>
      <c r="G15" s="404">
        <f t="shared" ref="G15:G18" si="4">IF(ISNUMBER(F15/B15),F15/B15," - ")</f>
        <v>629.5</v>
      </c>
      <c r="H15" s="403">
        <f>IF(ISNUMBER(Datos!O15),Datos!O15," - ")</f>
        <v>65</v>
      </c>
      <c r="I15" s="404">
        <f t="shared" ref="I15:I17" si="5">IF(ISNUMBER(H15/B15),H15/B15," - ")</f>
        <v>16.25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48</v>
      </c>
      <c r="E17" s="404">
        <f>IF(ISNUMBER(D17/B17),D17/B17," - ")</f>
        <v>48</v>
      </c>
      <c r="F17" s="403">
        <f>IF(ISNUMBER(Datos!N17),Datos!N17," - ")</f>
        <v>99</v>
      </c>
      <c r="G17" s="404">
        <f>IF(ISNUMBER(F17/B17),F17/B17," - ")</f>
        <v>99</v>
      </c>
      <c r="H17" s="403">
        <f>IF(ISNUMBER(Datos!O17),Datos!O17," - ")</f>
        <v>8</v>
      </c>
      <c r="I17" s="404">
        <f t="shared" si="5"/>
        <v>8</v>
      </c>
      <c r="BZ17" s="1186">
        <f>Datos!EZ17</f>
        <v>0</v>
      </c>
    </row>
    <row r="18" spans="1:78" ht="14.25" thickTop="1" thickBot="1">
      <c r="A18" s="848" t="str">
        <f>Datos!A18</f>
        <v>TOTAL</v>
      </c>
      <c r="B18" s="849">
        <f>Datos!AP18</f>
        <v>4</v>
      </c>
      <c r="C18" s="851">
        <f>Datos!AR18</f>
        <v>4</v>
      </c>
      <c r="D18" s="849">
        <f>SUBTOTAL(9,D15:D17)</f>
        <v>527</v>
      </c>
      <c r="E18" s="850">
        <f t="shared" si="3"/>
        <v>131.75</v>
      </c>
      <c r="F18" s="849">
        <f>SUBTOTAL(9,F15:F17)</f>
        <v>2617</v>
      </c>
      <c r="G18" s="850">
        <f t="shared" si="4"/>
        <v>654.25</v>
      </c>
      <c r="H18" s="849">
        <f>SUBTOTAL(9,H15:H17)</f>
        <v>73</v>
      </c>
      <c r="I18" s="850">
        <f>IF(ISNUMBER(H18/B18),H18/B18," - ")</f>
        <v>18.25</v>
      </c>
      <c r="BZ18" s="1186"/>
    </row>
    <row r="19" spans="1:78" ht="14.25" thickTop="1" thickBot="1">
      <c r="A19" s="793" t="str">
        <f>Datos!A19</f>
        <v>TOTAL JURISDICCIONES</v>
      </c>
      <c r="B19" s="794">
        <f>Datos!AP19</f>
        <v>10</v>
      </c>
      <c r="C19" s="794">
        <f>Datos!AR19</f>
        <v>10</v>
      </c>
      <c r="D19" s="794">
        <f>SUBTOTAL(9,D8:D18)</f>
        <v>1759</v>
      </c>
      <c r="E19" s="795">
        <f>IF(ISNUMBER(D19/B19),D19/B19," - ")</f>
        <v>175.9</v>
      </c>
      <c r="F19" s="794">
        <f>SUBTOTAL(9,F8:F18)</f>
        <v>5168</v>
      </c>
      <c r="G19" s="795">
        <f>IF(ISNUMBER(F19/B19),F19/B19," - ")</f>
        <v>516.79999999999995</v>
      </c>
      <c r="H19" s="794">
        <f>SUBTOTAL(9,H8:H18)</f>
        <v>738</v>
      </c>
      <c r="I19" s="795">
        <f>IF(ISNUMBER(H19/B19),H19/B19," - ")</f>
        <v>73.8</v>
      </c>
    </row>
    <row r="22" spans="1:78">
      <c r="A22" s="391" t="str">
        <f>Criterios!A4</f>
        <v>Fecha Informe: 24 sep. 2025</v>
      </c>
    </row>
    <row r="27" spans="1:78">
      <c r="A27" s="414"/>
    </row>
  </sheetData>
  <sheetProtection algorithmName="SHA-512" hashValue="CIesXj81hL4I9Slsbo7kBC6uRH1w8sxHk/6/tEVA9ynxKWs9v7l5m8BZmoJ64ENIeKhixuJF31jngpncye1ZCg==" saltValue="1nywokJScCE10nNdD2hk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ARRECIFE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454</v>
      </c>
      <c r="C9" s="434">
        <f>IF(ISNUMBER(Datos!Q9),Datos!Q9," - ")</f>
        <v>327</v>
      </c>
      <c r="D9" s="408">
        <f>IF(ISNUMBER(Datos!R9),Datos!R9," - ")</f>
        <v>7980</v>
      </c>
    </row>
    <row r="10" spans="1:4">
      <c r="A10" s="402" t="str">
        <f>Datos!A10</f>
        <v>Jdos. Violencia contra la mujer</v>
      </c>
      <c r="B10" s="433">
        <f>IF(ISNUMBER(Datos!P10),Datos!P10," - ")</f>
        <v>2</v>
      </c>
      <c r="C10" s="434">
        <f>IF(ISNUMBER(Datos!Q10),Datos!Q10," - ")</f>
        <v>0</v>
      </c>
      <c r="D10" s="408">
        <f>IF(ISNUMBER(Datos!R10),Datos!R10," - ")</f>
        <v>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456</v>
      </c>
      <c r="C13" s="853">
        <f>SUBTOTAL(9,C9:C12)</f>
        <v>327</v>
      </c>
      <c r="D13" s="851">
        <f>SUBTOTAL(9,D9:D12)</f>
        <v>8020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118</v>
      </c>
      <c r="C15" s="434">
        <f>IF(ISNUMBER(Datos!Q15),Datos!Q15," - ")</f>
        <v>176</v>
      </c>
      <c r="D15" s="408">
        <f>IF(ISNUMBER(Datos!R15),Datos!R15," - ")</f>
        <v>371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12</v>
      </c>
      <c r="C17" s="434">
        <f>IF(ISNUMBER(Datos!Q17),Datos!Q17," - ")</f>
        <v>8</v>
      </c>
      <c r="D17" s="408">
        <f>IF(ISNUMBER(Datos!R17),Datos!R17," - ")</f>
        <v>29</v>
      </c>
    </row>
    <row r="18" spans="1:4" ht="14.25" thickTop="1" thickBot="1">
      <c r="A18" s="848" t="str">
        <f>Datos!A18</f>
        <v>TOTAL</v>
      </c>
      <c r="B18" s="849">
        <f>SUBTOTAL(9,B15:B17)</f>
        <v>130</v>
      </c>
      <c r="C18" s="853">
        <f>SUBTOTAL(9,C15:C17)</f>
        <v>184</v>
      </c>
      <c r="D18" s="851">
        <f>SUBTOTAL(9,D15:D17)</f>
        <v>400</v>
      </c>
    </row>
    <row r="19" spans="1:4" ht="16.5" customHeight="1" thickTop="1" thickBot="1">
      <c r="A19" s="793" t="str">
        <f>Datos!A19</f>
        <v>TOTAL JURISDICCIONES</v>
      </c>
      <c r="B19" s="798">
        <f>SUBTOTAL(9,B8:B18)</f>
        <v>586</v>
      </c>
      <c r="C19" s="799">
        <f>SUBTOTAL(9,C8:C18)</f>
        <v>511</v>
      </c>
      <c r="D19" s="800">
        <f>SUBTOTAL(9,D8:D18)</f>
        <v>8420</v>
      </c>
    </row>
    <row r="20" spans="1:4" ht="7.5" customHeight="1"/>
    <row r="21" spans="1:4" ht="6" customHeight="1"/>
    <row r="22" spans="1:4">
      <c r="A22" s="391" t="str">
        <f>Criterios!A4</f>
        <v>Fecha Informe: 24 sep. 2025</v>
      </c>
    </row>
    <row r="27" spans="1:4">
      <c r="A27" s="414"/>
    </row>
  </sheetData>
  <sheetProtection algorithmName="SHA-512" hashValue="R7Kay1y2i3SxYCtA0wepB6RdpA3vUq4SGvJ+Egqf2qVDGgpFyKve8wB2zpd9z+6DA+viKz71uBKDryF3Bcjd6g==" saltValue="94nr/i06RG42/VfRn6Yy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ARRECIFE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0.42733648670689939</v>
      </c>
      <c r="C9" s="456">
        <f>IF(ISNUMBER(
   IF(J_V="SI",(Datos!J9-Datos!T9)/Datos!T9,(Datos!J9+Datos!Z9-(Datos!T9+Datos!AH9))/(Datos!T9+Datos!AH9))
     ),IF(J_V="SI",(Datos!J9-Datos!T9)/Datos!T9,(Datos!J9+Datos!Z9-(Datos!T9+Datos!AH9))/(Datos!T9+Datos!AH9))," - ")</f>
        <v>-0.33396533044420368</v>
      </c>
      <c r="D9" s="456">
        <f>IF(ISNUMBER(
   IF(J_V="SI",(Datos!K9-Datos!U9)/Datos!U9,(Datos!K9+Datos!AA9-(Datos!U9+Datos!AI9))/(Datos!U9+Datos!AI9))
     ),IF(J_V="SI",(Datos!K9-Datos!U9)/Datos!U9,(Datos!K9+Datos!AA9-(Datos!U9+Datos!AI9))/(Datos!U9+Datos!AI9))," - ")</f>
        <v>0.25683536940081442</v>
      </c>
      <c r="E9" s="456">
        <f>IF(ISNUMBER(
   IF(J_V="SI",(Datos!L9-Datos!V9)/Datos!V9,(Datos!L9+Datos!AB9-(Datos!V9+Datos!AJ9))/(Datos!V9+Datos!AJ9))
     ),IF(J_V="SI",(Datos!L9-Datos!V9)/Datos!V9,(Datos!L9+Datos!AB9-(Datos!V9+Datos!AJ9))/(Datos!V9+Datos!AJ9))," - ")</f>
        <v>0.1658574784651527</v>
      </c>
      <c r="F9" s="456">
        <f>IF(ISNUMBER((Datos!M9-Datos!W9)/Datos!W9),(Datos!M9-Datos!W9)/Datos!W9," - ")</f>
        <v>0.4314420803782506</v>
      </c>
      <c r="G9" s="457">
        <f>IF(ISNUMBER((Datos!N9-Datos!X9)/Datos!X9),(Datos!N9-Datos!X9)/Datos!X9," - ")</f>
        <v>0.24119373776908024</v>
      </c>
      <c r="H9" s="455">
        <f>IF(ISNUMBER(((NºAsuntos!G9/NºAsuntos!E9)-Datos!BD9)/Datos!BD9),((NºAsuntos!G9/NºAsuntos!E9)-Datos!BD9)/Datos!BD9," - ")</f>
        <v>0.88704196170305272</v>
      </c>
      <c r="I9" s="456">
        <f>IF(ISNUMBER(((NºAsuntos!I9/NºAsuntos!G9)-Datos!BE9)/Datos!BE9),((NºAsuntos!I9/NºAsuntos!G9)-Datos!BE9)/Datos!BE9," - ")</f>
        <v>-7.2386482072854627E-2</v>
      </c>
      <c r="J9" s="461">
        <f>IF(ISNUMBER((('Resol  Asuntos'!D9/NºAsuntos!G9)-Datos!BF9)/Datos!BF9),(('Resol  Asuntos'!D9/NºAsuntos!G9)-Datos!BF9)/Datos!BF9," - ")</f>
        <v>-0.52860512375052704</v>
      </c>
      <c r="K9" s="462">
        <f>IF(ISNUMBER((((NºAsuntos!C9+NºAsuntos!E9)/NºAsuntos!G9)-Datos!BG9)/Datos!BG9),(((NºAsuntos!C9+NºAsuntos!E9)/NºAsuntos!G9)-Datos!BG9)/Datos!BG9," - ")</f>
        <v>-9.2005799574477062E-2</v>
      </c>
    </row>
    <row r="10" spans="1:11">
      <c r="A10" s="402" t="str">
        <f>Datos!A10</f>
        <v>Jdos. Violencia contra la mujer</v>
      </c>
      <c r="B10" s="455">
        <f>IF(ISNUMBER((Datos!I10-Datos!S10)/Datos!S10),(Datos!I10-Datos!S10)/Datos!S10," - ")</f>
        <v>0</v>
      </c>
      <c r="C10" s="456">
        <f>IF(ISNUMBER((Datos!J10-Datos!T10)/Datos!T10),(Datos!J10-Datos!T10)/Datos!T10," - ")</f>
        <v>0.45833333333333331</v>
      </c>
      <c r="D10" s="456">
        <f>IF(ISNUMBER((Datos!K10-Datos!U10)/Datos!U10),(Datos!K10-Datos!U10)/Datos!U10," - ")</f>
        <v>0.35483870967741937</v>
      </c>
      <c r="E10" s="456">
        <f>IF(ISNUMBER((Datos!L10-Datos!V10)/Datos!V10),(Datos!L10-Datos!V10)/Datos!V10," - ")</f>
        <v>0</v>
      </c>
      <c r="F10" s="456">
        <f>IF(ISNUMBER((Datos!M10-Datos!W10)/Datos!W10),(Datos!M10-Datos!W10)/Datos!W10," - ")</f>
        <v>0.3125</v>
      </c>
      <c r="G10" s="457">
        <f>IF(ISNUMBER((Datos!N10-Datos!X10)/Datos!X10),(Datos!N10-Datos!X10)/Datos!X10," - ")</f>
        <v>0.75</v>
      </c>
      <c r="H10" s="455">
        <f>IF(ISNUMBER(((NºAsuntos!G10/NºAsuntos!E10)-Datos!BD10)/Datos!BD10),((NºAsuntos!G10/NºAsuntos!E10)-Datos!BD10)/Datos!BD10," - ")</f>
        <v>-7.0967741935483955E-2</v>
      </c>
      <c r="I10" s="456">
        <f>IF(ISNUMBER(((NºAsuntos!I10/NºAsuntos!G10)-Datos!BE10)/Datos!BE10),((NºAsuntos!I10/NºAsuntos!G10)-Datos!BE10)/Datos!BE10," - ")</f>
        <v>-0.26190476190476192</v>
      </c>
      <c r="J10" s="461">
        <f>IF(ISNUMBER((('Resol  Asuntos'!D10/NºAsuntos!G10)-Datos!BF10)/Datos!BF10),(('Resol  Asuntos'!D10/NºAsuntos!G10)-Datos!BF10)/Datos!BF10," - ")</f>
        <v>-3.1249999999999972E-2</v>
      </c>
      <c r="K10" s="462">
        <f>IF(ISNUMBER((((NºAsuntos!C10+NºAsuntos!E10)/NºAsuntos!G10)-Datos!BG10)/Datos!BG10),(((NºAsuntos!C10+NºAsuntos!E10)/NºAsuntos!G10)-Datos!BG10)/Datos!BG10," - ")</f>
        <v>-8.5403726708074501E-2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0.42580854867544288</v>
      </c>
      <c r="C13" s="855">
        <f>IF(ISNUMBER(
   IF(J_V="SI",(Datos!J13-Datos!T13)/Datos!T13,(Datos!J13+Datos!Z13-(Datos!T13+Datos!AH13))/(Datos!T13+Datos!AH13))
     ),IF(J_V="SI",(Datos!J13-Datos!T13)/Datos!T13,(Datos!J13+Datos!Z13-(Datos!T13+Datos!AH13))/(Datos!T13+Datos!AH13))," - ")</f>
        <v>-0.32884822389666307</v>
      </c>
      <c r="D13" s="855">
        <f>IF(ISNUMBER(
   IF(J_V="SI",(Datos!K13-Datos!U13)/Datos!U13,(Datos!K13+Datos!AA13-(Datos!U13+Datos!AI13))/(Datos!U13+Datos!AI13))
     ),IF(J_V="SI",(Datos!K13-Datos!U13)/Datos!U13,(Datos!K13+Datos!AA13-(Datos!U13+Datos!AI13))/(Datos!U13+Datos!AI13))," - ")</f>
        <v>0.25771115595272415</v>
      </c>
      <c r="E13" s="855">
        <f>IF(ISNUMBER(
   IF(J_V="SI",(Datos!L13-Datos!V13)/Datos!V13,(Datos!L13+Datos!AB13-(Datos!V13+Datos!AJ13))/(Datos!V13+Datos!AJ13))
     ),IF(J_V="SI",(Datos!L13-Datos!V13)/Datos!V13,(Datos!L13+Datos!AB13-(Datos!V13+Datos!AJ13))/(Datos!V13+Datos!AJ13))," - ")</f>
        <v>0.16546875</v>
      </c>
      <c r="F13" s="856">
        <f>IF(ISNUMBER((Datos!M13-Datos!W13)/Datos!W13),(Datos!M13-Datos!W13)/Datos!W13," - ")</f>
        <v>0.42923433874709976</v>
      </c>
      <c r="G13" s="857">
        <f>IF(ISNUMBER((Datos!N13-Datos!X13)/Datos!X13),(Datos!N13-Datos!X13)/Datos!X13," - ")</f>
        <v>0.24317738791423002</v>
      </c>
      <c r="H13" s="857">
        <f>IF(ISNUMBER(((NºAsuntos!G13/NºAsuntos!E13)-Datos!BD13)/Datos!BD13),((NºAsuntos!G13/NºAsuntos!E13)-Datos!BD13)/Datos!BD13," - ")</f>
        <v>0.8739593646833691</v>
      </c>
      <c r="I13" s="857">
        <f>IF(ISNUMBER(((NºAsuntos!I13/NºAsuntos!G13)-Datos!BE13)/Datos!BE13),((NºAsuntos!I13/NºAsuntos!G13)-Datos!BE13)/Datos!BE13," - ")</f>
        <v>-7.3341486649094637E-2</v>
      </c>
      <c r="J13" s="857">
        <f>IF(ISNUMBER((('Resol  Asuntos'!D13/NºAsuntos!G13)-Datos!BF13)/Datos!BF13),(('Resol  Asuntos'!D13/NºAsuntos!G13)-Datos!BF13)/Datos!BF13," - ")</f>
        <v>-0.52448680319277952</v>
      </c>
      <c r="K13" s="857">
        <f>IF(ISNUMBER((((NºAsuntos!C13+NºAsuntos!E13)/NºAsuntos!G13)-Datos!BG13)/Datos!BG13),(((NºAsuntos!C13+NºAsuntos!E13)/NºAsuntos!G13)-Datos!BG13)/Datos!BG13," - ")</f>
        <v>-9.2275134772045936E-2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0.15714285714285714</v>
      </c>
      <c r="C15" s="456">
        <f>IF(ISNUMBER(
   IF(D_I="SI",(Datos!J15-Datos!T15)/Datos!T15,(Datos!J15+Datos!AD15-(Datos!T15+Datos!AL15))/(Datos!T15+Datos!AL15))
     ),IF(D_I="SI",(Datos!J15-Datos!T15)/Datos!T15,(Datos!J15+Datos!AD15-(Datos!T15+Datos!AL15))/(Datos!T15+Datos!AL15))," - ")</f>
        <v>-0.11589644326155335</v>
      </c>
      <c r="D15" s="456">
        <f>IF(ISNUMBER(
   IF(D_I="SI",(Datos!K15-Datos!U15)/Datos!U15,(Datos!K15+Datos!AE15-(Datos!U15+Datos!AM15))/(Datos!U15+Datos!AM15))
     ),IF(D_I="SI",(Datos!K15-Datos!U15)/Datos!U15,(Datos!K15+Datos!AE15-(Datos!U15+Datos!AM15))/(Datos!U15+Datos!AM15))," - ")</f>
        <v>-8.3735092616087289E-2</v>
      </c>
      <c r="E15" s="456">
        <f>IF(ISNUMBER(
   IF(D_I="SI",(Datos!L15-Datos!V15)/Datos!V15,(Datos!L15+Datos!AF15-(Datos!V15+Datos!AN15))/(Datos!V15+Datos!AN15))
     ),IF(D_I="SI",(Datos!L15-Datos!V15)/Datos!V15,(Datos!L15+Datos!AF15-(Datos!V15+Datos!AN15))/(Datos!V15+Datos!AN15))," - ")</f>
        <v>6.532897806812879E-2</v>
      </c>
      <c r="F15" s="456">
        <f>IF(ISNUMBER((Datos!M15-Datos!W15)/Datos!W15),(Datos!M15-Datos!W15)/Datos!W15," - ")</f>
        <v>-6.0784313725490195E-2</v>
      </c>
      <c r="G15" s="457">
        <f>IF(ISNUMBER((Datos!N15-Datos!X15)/Datos!X15),(Datos!N15-Datos!X15)/Datos!X15," - ")</f>
        <v>-7.5963302752293571E-2</v>
      </c>
      <c r="H15" s="455">
        <f>IF(ISNUMBER(((NºAsuntos!G15/NºAsuntos!E15)-Datos!BD15)/Datos!BD15),((NºAsuntos!G15/NºAsuntos!E15)-Datos!BD15)/Datos!BD15," - ")</f>
        <v>3.6377356928766029E-2</v>
      </c>
      <c r="I15" s="456">
        <f>IF(ISNUMBER(((NºAsuntos!I15/NºAsuntos!G15)-Datos!BE15)/Datos!BE15),((NºAsuntos!I15/NºAsuntos!G15)-Datos!BE15)/Datos!BE15," - ")</f>
        <v>0.16268665260772519</v>
      </c>
      <c r="J15" s="461">
        <f>IF(ISNUMBER((('Resol  Asuntos'!D15/NºAsuntos!G15)-Datos!BF15)/Datos!BF15),(('Resol  Asuntos'!D15/NºAsuntos!G15)-Datos!BF15)/Datos!BF15," - ")</f>
        <v>2.5048191528065176E-2</v>
      </c>
      <c r="K15" s="462">
        <f>IF(ISNUMBER((((NºAsuntos!C15+NºAsuntos!E15)/NºAsuntos!G15)-Datos!BG15)/Datos!BG15),(((NºAsuntos!C15+NºAsuntos!E15)/NºAsuntos!G15)-Datos!BG15)/Datos!BG15," - ")</f>
        <v>5.8408428173861153E-2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-8.9108910891089105E-2</v>
      </c>
      <c r="C17" s="456">
        <f>IF(ISNUMBER(
   IF(D_I="SI",(Datos!J17-Datos!T17)/Datos!T17,(Datos!J17+Datos!AD17-(Datos!T17+Datos!AL17))/(Datos!T17+Datos!AL17))
     ),IF(D_I="SI",(Datos!J17-Datos!T17)/Datos!T17,(Datos!J17+Datos!AD17-(Datos!T17+Datos!AL17))/(Datos!T17+Datos!AL17))," - ")</f>
        <v>-2.4875621890547265E-2</v>
      </c>
      <c r="D17" s="456">
        <f>IF(ISNUMBER(
   IF(D_I="SI",(Datos!K17-Datos!U17)/Datos!U17,(Datos!K17+Datos!AE17-(Datos!U17+Datos!AM17))/(Datos!U17+Datos!AM17))
     ),IF(D_I="SI",(Datos!K17-Datos!U17)/Datos!U17,(Datos!K17+Datos!AE17-(Datos!U17+Datos!AM17))/(Datos!U17+Datos!AM17))," - ")</f>
        <v>-0.10849056603773585</v>
      </c>
      <c r="E17" s="456">
        <f>IF(ISNUMBER(
   IF(D_I="SI",(Datos!L17-Datos!V17)/Datos!V17,(Datos!L17+Datos!AF17-(Datos!V17+Datos!AN17))/(Datos!V17+Datos!AN17))
     ),IF(D_I="SI",(Datos!L17-Datos!V17)/Datos!V17,(Datos!L17+Datos!AF17-(Datos!V17+Datos!AN17))/(Datos!V17+Datos!AN17))," - ")</f>
        <v>0.10989010989010989</v>
      </c>
      <c r="F17" s="456">
        <f>IF(ISNUMBER((Datos!M17-Datos!W17)/Datos!W17),(Datos!M17-Datos!W17)/Datos!W17," - ")</f>
        <v>-0.4</v>
      </c>
      <c r="G17" s="457">
        <f>IF(ISNUMBER((Datos!N17-Datos!X17)/Datos!X17),(Datos!N17-Datos!X17)/Datos!X17," - ")</f>
        <v>0.52307692307692311</v>
      </c>
      <c r="H17" s="455">
        <f>IF(ISNUMBER(((NºAsuntos!G17/NºAsuntos!E17)-Datos!BD17)/Datos!BD17),((NºAsuntos!G17/NºAsuntos!E17)-Datos!BD17)/Datos!BD17," - ")</f>
        <v>-8.574797843665774E-2</v>
      </c>
      <c r="I17" s="456">
        <f>IF(ISNUMBER(((NºAsuntos!I17/NºAsuntos!G17)-Datos!BE17)/Datos!BE17),((NºAsuntos!I17/NºAsuntos!G17)-Datos!BE17)/Datos!BE17," - ")</f>
        <v>0.24495610209895927</v>
      </c>
      <c r="J17" s="461">
        <f>IF(ISNUMBER((('Resol  Asuntos'!D17/NºAsuntos!G17)-Datos!BF17)/Datos!BF17),(('Resol  Asuntos'!D17/NºAsuntos!G17)-Datos!BF17)/Datos!BF17," - ")</f>
        <v>-0.32698412698412704</v>
      </c>
      <c r="K17" s="462">
        <f>IF(ISNUMBER((((NºAsuntos!C17+NºAsuntos!E17)/NºAsuntos!G17)-Datos!BG17)/Datos!BG17),(((NºAsuntos!C17+NºAsuntos!E17)/NºAsuntos!G17)-Datos!BG17)/Datos!BG17," - ")</f>
        <v>6.9694102806685518E-2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0.14465092918131592</v>
      </c>
      <c r="C18" s="855">
        <f>IF(ISNUMBER(
   IF(Criterios!B14="SI",(Datos!J18-Datos!T18)/Datos!T18,(Datos!J18+Datos!AD18-(Datos!T18+Datos!AL18))/(Datos!T18+Datos!AL18))
     ),IF(Criterios!B14="SI",(Datos!J18-Datos!T18)/Datos!T18,(Datos!J18+Datos!AD18-(Datos!T18+Datos!AL18))/(Datos!T18+Datos!AL18))," - ")</f>
        <v>-0.1116751269035533</v>
      </c>
      <c r="D18" s="855">
        <f>IF(ISNUMBER(
   IF(Criterios!B14="SI",(Datos!K18-Datos!U18)/Datos!U18,(Datos!K18+Datos!AE18-(Datos!U18+Datos!AM18))/(Datos!U18+Datos!AM18))
     ),IF(Criterios!B14="SI",(Datos!K18-Datos!U18)/Datos!U18,(Datos!K18+Datos!AE18-(Datos!U18+Datos!AM18))/(Datos!U18+Datos!AM18))," - ")</f>
        <v>-8.4998796051047432E-2</v>
      </c>
      <c r="E18" s="855">
        <f>IF(ISNUMBER(
   IF(Criterios!B14="SI",(Datos!L18-Datos!V18)/Datos!V18,(Datos!L18+Datos!AF18-(Datos!V18+Datos!AN18))/(Datos!V18+Datos!AN18))
     ),IF(Criterios!B14="SI",(Datos!L18-Datos!V18)/Datos!V18,(Datos!L18+Datos!AF18-(Datos!V18+Datos!AN18))/(Datos!V18+Datos!AN18))," - ")</f>
        <v>6.714413607878246E-2</v>
      </c>
      <c r="F18" s="856">
        <f>IF(ISNUMBER((Datos!M18-Datos!W18)/Datos!W18),(Datos!M18-Datos!W18)/Datos!W18," - ")</f>
        <v>-0.10677966101694915</v>
      </c>
      <c r="G18" s="857">
        <f>IF(ISNUMBER((Datos!N18-Datos!X18)/Datos!X18),(Datos!N18-Datos!X18)/Datos!X18," - ")</f>
        <v>-6.2007168458781362E-2</v>
      </c>
      <c r="H18" s="857">
        <f>IF(ISNUMBER(((NºAsuntos!G18/NºAsuntos!E18)-Datos!BD18)/Datos!BD18),((NºAsuntos!G18/NºAsuntos!E18)-Datos!BD18)/Datos!BD18," - ")</f>
        <v>3.0029926731106608E-2</v>
      </c>
      <c r="I18" s="857">
        <f>IF(ISNUMBER(((NºAsuntos!I18/NºAsuntos!G18)-Datos!BE18)/Datos!BE18),((NºAsuntos!I18/NºAsuntos!G18)-Datos!BE18)/Datos!BE18," - ")</f>
        <v>0.16627620977241681</v>
      </c>
      <c r="J18" s="857">
        <f>IF(ISNUMBER((('Resol  Asuntos'!D18/NºAsuntos!G18)-Datos!BF18)/Datos!BF18),(('Resol  Asuntos'!D18/NºAsuntos!G18)-Datos!BF18)/Datos!BF18," - ")</f>
        <v>-2.3804192685102449E-2</v>
      </c>
      <c r="K18" s="857">
        <f>IF(ISNUMBER((((NºAsuntos!C18+NºAsuntos!E18)/NºAsuntos!G18)-Datos!BG18)/Datos!BG18),(((NºAsuntos!C18+NºAsuntos!E18)/NºAsuntos!G18)-Datos!BG18)/Datos!BG18," - ")</f>
        <v>5.902795922612844E-2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0.35707269155206289</v>
      </c>
      <c r="C19" s="802">
        <f>IF(ISNUMBER(
   IF(J_V="SI",(Datos!J19-Datos!T19)/Datos!T19,(Datos!J19+Datos!Z19-(Datos!T19+Datos!AH19))/(Datos!T19+Datos!AH19))
     ),IF(J_V="SI",(Datos!J19-Datos!T19)/Datos!T19,(Datos!J19+Datos!Z19-(Datos!T19+Datos!AH19))/(Datos!T19+Datos!AH19))," - ")</f>
        <v>-0.21192546583850932</v>
      </c>
      <c r="D19" s="802">
        <f>IF(ISNUMBER(
   IF(J_V="SI",(Datos!K19-Datos!U19)/Datos!U19,(Datos!K19+Datos!AA19-(Datos!U19+Datos!AI19))/(Datos!U19+Datos!AI19))
     ),IF(J_V="SI",(Datos!K19-Datos!U19)/Datos!U19,(Datos!K19+Datos!AA19-(Datos!U19+Datos!AI19))/(Datos!U19+Datos!AI19))," - ")</f>
        <v>7.0978745736027291E-2</v>
      </c>
      <c r="E19" s="802">
        <f>IF(ISNUMBER(
   IF(J_V="SI",(Datos!L19-Datos!V19)/Datos!V19,(Datos!L19+Datos!AB19-(Datos!V19+Datos!AJ19))/(Datos!V19+Datos!AJ19))
     ),IF(J_V="SI",(Datos!L19-Datos!V19)/Datos!V19,(Datos!L19+Datos!AB19-(Datos!V19+Datos!AJ19))/(Datos!V19+Datos!AJ19))," - ")</f>
        <v>0.14002779708130647</v>
      </c>
      <c r="F19" s="803">
        <f>IF(ISNUMBER((Datos!M19-Datos!W19)/Datos!W19),(Datos!M19-Datos!W19)/Datos!W19," - ")</f>
        <v>0.21143250688705234</v>
      </c>
      <c r="G19" s="804">
        <f>IF(ISNUMBER((Datos!N19-Datos!X19)/Datos!X19),(Datos!N19-Datos!X19)/Datos!X19," - ")</f>
        <v>6.7327550598926061E-2</v>
      </c>
      <c r="H19" s="805">
        <f>IF(ISNUMBER((Tasas!B19-Datos!BD19)/Datos!BD19),(Tasas!B19-Datos!BD19)/Datos!BD19," - ")</f>
        <v>0.35898154211459954</v>
      </c>
      <c r="I19" s="806">
        <f>IF(ISNUMBER((Tasas!C19-Datos!BE19)/Datos!BE19),(Tasas!C19-Datos!BE19)/Datos!BE19," - ")</f>
        <v>6.4472849363434726E-2</v>
      </c>
      <c r="J19" s="807">
        <f>IF(ISNUMBER((Tasas!D19-Datos!BF19)/Datos!BF19),(Tasas!D19-Datos!BF19)/Datos!BF19," - ")</f>
        <v>-0.38021777971935028</v>
      </c>
      <c r="K19" s="807">
        <f>IF(ISNUMBER((Tasas!E19-Datos!BG19)/Datos!BG19),(Tasas!E19-Datos!BG19)/Datos!BG19," - ")</f>
        <v>3.031130066624069E-3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BZ8UrUcZUTSQOc1KEa2etEyF3PifuWrMDk8Wpt9cxq8m9C1EtIIhjt/6yqxaCSnMaLrH6QZYxz27zv8ZKXItA==" saltValue="jdtz5wQuRoyrhFFVGBXd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ARRECIFE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1.7572183814558764</v>
      </c>
      <c r="C9" s="443">
        <f>IF(ISNUMBER(NºAsuntos!I9/NºAsuntos!G9),NºAsuntos!I9/NºAsuntos!G9," - ")</f>
        <v>1.7227493635732469</v>
      </c>
      <c r="D9" s="444">
        <f>IF(ISNUMBER('Resol  Asuntos'!D9/NºAsuntos!G9),'Resol  Asuntos'!D9/NºAsuntos!G9," - ")</f>
        <v>0.28025919925943071</v>
      </c>
      <c r="E9" s="445">
        <f>IF(ISNUMBER((NºAsuntos!C9+NºAsuntos!E9)/NºAsuntos!G9),(NºAsuntos!C9+NºAsuntos!E9)/NºAsuntos!G9," - ")</f>
        <v>2.5943068734089332</v>
      </c>
      <c r="G9" s="463"/>
    </row>
    <row r="10" spans="1:7">
      <c r="A10" s="402" t="str">
        <f>Datos!A10</f>
        <v>Jdos. Violencia contra la mujer</v>
      </c>
      <c r="B10" s="442">
        <f>IF(ISNUMBER(NºAsuntos!G10/NºAsuntos!E10),NºAsuntos!G10/NºAsuntos!E10," - ")</f>
        <v>1.2</v>
      </c>
      <c r="C10" s="443">
        <f>IF(ISNUMBER(NºAsuntos!I10/NºAsuntos!G10),NºAsuntos!I10/NºAsuntos!G10," - ")</f>
        <v>0.35714285714285715</v>
      </c>
      <c r="D10" s="444">
        <f>IF(ISNUMBER('Resol  Asuntos'!D10/NºAsuntos!G10),'Resol  Asuntos'!D10/NºAsuntos!G10," - ")</f>
        <v>0.5</v>
      </c>
      <c r="E10" s="445">
        <f>IF(ISNUMBER((NºAsuntos!C10+NºAsuntos!E10)/NºAsuntos!G10),(NºAsuntos!C10+NºAsuntos!E10)/NºAsuntos!G10," - ")</f>
        <v>1.3571428571428572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1.7493985565356855</v>
      </c>
      <c r="C13" s="859">
        <f>IF(ISNUMBER(NºAsuntos!I13/NºAsuntos!G13),NºAsuntos!I13/NºAsuntos!G13," - ")</f>
        <v>1.7096034838413936</v>
      </c>
      <c r="D13" s="860">
        <f>IF(ISNUMBER('Resol  Asuntos'!D13/NºAsuntos!G13),'Resol  Asuntos'!D13/NºAsuntos!G13," - ")</f>
        <v>0.2823745129498052</v>
      </c>
      <c r="E13" s="861">
        <f>IF(ISNUMBER((NºAsuntos!C13+NºAsuntos!E13)/NºAsuntos!G13),(NºAsuntos!C13+NºAsuntos!E13)/NºAsuntos!G13," - ")</f>
        <v>2.5823974329589734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0.98823207443897099</v>
      </c>
      <c r="C15" s="443">
        <f>IF(ISNUMBER(NºAsuntos!I15/NºAsuntos!G15),NºAsuntos!I15/NºAsuntos!G15," - ")</f>
        <v>0.63223483799501523</v>
      </c>
      <c r="D15" s="444">
        <f>IF(ISNUMBER('Resol  Asuntos'!D15/NºAsuntos!G15),'Resol  Asuntos'!D15/NºAsuntos!G15," - ")</f>
        <v>0.13265023539185822</v>
      </c>
      <c r="E15" s="445">
        <f>IF(ISNUMBER((NºAsuntos!C15+NºAsuntos!E15)/NºAsuntos!G15),(NºAsuntos!C15+NºAsuntos!E15)/NºAsuntos!G15," - ")</f>
        <v>1.6175574633065632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0.9642857142857143</v>
      </c>
      <c r="C17" s="443">
        <f>IF(ISNUMBER(NºAsuntos!I17/NºAsuntos!G17),NºAsuntos!I17/NºAsuntos!G17," - ")</f>
        <v>0.53439153439153442</v>
      </c>
      <c r="D17" s="444">
        <f>IF(ISNUMBER('Resol  Asuntos'!D17/NºAsuntos!G17),'Resol  Asuntos'!D17/NºAsuntos!G17," - ")</f>
        <v>0.25396825396825395</v>
      </c>
      <c r="E17" s="445">
        <f>IF(ISNUMBER((NºAsuntos!C17+NºAsuntos!E17)/NºAsuntos!G17),(NºAsuntos!C17+NºAsuntos!E17)/NºAsuntos!G17," - ")</f>
        <v>1.5238095238095237</v>
      </c>
      <c r="G17" s="463"/>
    </row>
    <row r="18" spans="1:7" ht="14.25" thickTop="1" thickBot="1">
      <c r="A18" s="848" t="str">
        <f>Datos!A18</f>
        <v>TOTAL</v>
      </c>
      <c r="B18" s="858">
        <f>IF(ISNUMBER(NºAsuntos!G18/NºAsuntos!E18),NºAsuntos!G18/NºAsuntos!E18," - ")</f>
        <v>0.98701298701298701</v>
      </c>
      <c r="C18" s="859">
        <f>IF(ISNUMBER(NºAsuntos!I18/NºAsuntos!G18),NºAsuntos!I18/NºAsuntos!G18," - ")</f>
        <v>0.62736842105263158</v>
      </c>
      <c r="D18" s="862">
        <f>IF(ISNUMBER('Resol  Asuntos'!D18/NºAsuntos!G18),'Resol  Asuntos'!D18/NºAsuntos!G18," - ")</f>
        <v>0.1386842105263158</v>
      </c>
      <c r="E18" s="861">
        <f>IF(ISNUMBER((NºAsuntos!C18+NºAsuntos!E18)/NºAsuntos!G18),(NºAsuntos!C18+NºAsuntos!E18)/NºAsuntos!G18," - ")</f>
        <v>1.6128947368421052</v>
      </c>
      <c r="G18" s="463"/>
    </row>
    <row r="19" spans="1:7" ht="15.75" customHeight="1" thickTop="1" thickBot="1">
      <c r="A19" s="793" t="str">
        <f>Datos!A19</f>
        <v>TOTAL JURISDICCIONES</v>
      </c>
      <c r="B19" s="808">
        <f>IF(ISNUMBER(NºAsuntos!G19/NºAsuntos!E19),NºAsuntos!G19/NºAsuntos!E19," - ")</f>
        <v>1.2867276166456494</v>
      </c>
      <c r="C19" s="809">
        <f>IF(ISNUMBER(NºAsuntos!I19/NºAsuntos!G19),NºAsuntos!I19/NºAsuntos!G19," - ")</f>
        <v>1.2058066887173833</v>
      </c>
      <c r="D19" s="810">
        <f>IF(ISNUMBER('Resol  Asuntos'!D19/NºAsuntos!G19),'Resol  Asuntos'!D19/NºAsuntos!G19," - ")</f>
        <v>0.21548450324635551</v>
      </c>
      <c r="E19" s="811">
        <f>IF(ISNUMBER((NºAsuntos!C19+NºAsuntos!E19)/NºAsuntos!G19),(NºAsuntos!C19+NºAsuntos!E19)/NºAsuntos!G19," - ")</f>
        <v>2.1310792600759525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1Zwr4LApVkwmtE63/LInNH9se/nFDTdyFAtEMRX5YbQRS9FqmE0KSRBgvm0eV2zymogCf4Cm632ZaeiuU4RjQ==" saltValue="OohP2mUTB603/+IZbnYw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ARRECIFE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454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327</v>
      </c>
      <c r="Y9" s="334">
        <f>SUM(W9:X9)</f>
        <v>327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7980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1211</v>
      </c>
      <c r="AJ9" s="229" t="str">
        <f>IF(ISNUMBER(Datos!BW9),Datos!BW9," - ")</f>
        <v xml:space="preserve"> - </v>
      </c>
      <c r="AK9" s="228" t="str">
        <f>IF(ISNUMBER(Datos!BX9),Datos!BX9," - ")</f>
        <v xml:space="preserve"> - </v>
      </c>
      <c r="AL9" s="243">
        <f>IF(ISNUMBER(NºAsuntos!G9/NºAsuntos!E9),NºAsuntos!G9/NºAsuntos!E9," - ")</f>
        <v>1.7572183814558764</v>
      </c>
      <c r="AM9" s="260">
        <f>IF(ISNUMBER(((NºAsuntos!I9/NºAsuntos!G9)*11)/factor_trimestre),((NºAsuntos!I9/NºAsuntos!G9)*11)/factor_trimestre," - ")</f>
        <v>5.1682480907197403</v>
      </c>
      <c r="AN9" s="244">
        <f>IF(ISNUMBER('Resol  Asuntos'!D9/NºAsuntos!G9),'Resol  Asuntos'!D9/NºAsuntos!G9," - ")</f>
        <v>0.28025919925943071</v>
      </c>
      <c r="AO9" s="245">
        <f>IF(ISNUMBER((NºAsuntos!C9+NºAsuntos!E9)/NºAsuntos!G9),(NºAsuntos!C9+NºAsuntos!E9)/NºAsuntos!G9," - ")</f>
        <v>2.5943068734089332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0</v>
      </c>
      <c r="Y10" s="334">
        <f t="shared" ref="Y10:Y12" si="0">SUM(W10:X10)</f>
        <v>42</v>
      </c>
      <c r="Z10" s="335" t="str">
        <f>IF(ISNUMBER(Datos!CC10),Datos!CC10," - ")</f>
        <v xml:space="preserve"> - </v>
      </c>
      <c r="AA10" s="332">
        <f>IF(ISNUMBER(Datos!L10),Datos!L10,"-")</f>
        <v>15</v>
      </c>
      <c r="AB10" s="334">
        <f>IF(ISNUMBER(Datos!R10),Datos!R10," - ")</f>
        <v>40</v>
      </c>
      <c r="AC10" s="334">
        <f t="shared" ref="AC10:AC12" si="1">IF(ISNUMBER(AA10+AB10),AA10+AB10," - ")</f>
        <v>55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1.2</v>
      </c>
      <c r="AM10" s="260">
        <f>IF(ISNUMBER(((NºAsuntos!I10/NºAsuntos!G10)*11)/factor_trimestre),((NºAsuntos!I10/NºAsuntos!G10)*11)/factor_trimestre," - ")</f>
        <v>1.0714285714285716</v>
      </c>
      <c r="AN10" s="244">
        <f>IF(ISNUMBER('Resol  Asuntos'!D10/NºAsuntos!G10),'Resol  Asuntos'!D10/NºAsuntos!G10," - ")</f>
        <v>0.5</v>
      </c>
      <c r="AO10" s="245">
        <f>IF(ISNUMBER((NºAsuntos!C10+NºAsuntos!E10)/NºAsuntos!G10),(NºAsuntos!C10+NºAsuntos!E10)/NºAsuntos!G10," - ")</f>
        <v>1.3571428571428572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22</v>
      </c>
      <c r="G13" s="866">
        <f t="shared" si="3"/>
        <v>22</v>
      </c>
      <c r="H13" s="865">
        <f t="shared" si="3"/>
        <v>0</v>
      </c>
      <c r="I13" s="867">
        <f t="shared" si="3"/>
        <v>0</v>
      </c>
      <c r="J13" s="867">
        <f t="shared" si="3"/>
        <v>0</v>
      </c>
      <c r="K13" s="867">
        <f t="shared" si="3"/>
        <v>0</v>
      </c>
      <c r="L13" s="867">
        <f t="shared" si="3"/>
        <v>456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327</v>
      </c>
      <c r="Y13" s="868">
        <f t="shared" si="4"/>
        <v>369</v>
      </c>
      <c r="Z13" s="868">
        <f t="shared" si="4"/>
        <v>0</v>
      </c>
      <c r="AA13" s="868">
        <f t="shared" si="4"/>
        <v>15</v>
      </c>
      <c r="AB13" s="868">
        <f t="shared" si="4"/>
        <v>8020</v>
      </c>
      <c r="AC13" s="868">
        <f t="shared" si="4"/>
        <v>55</v>
      </c>
      <c r="AD13" s="868">
        <f t="shared" si="4"/>
        <v>0</v>
      </c>
      <c r="AE13" s="872">
        <f t="shared" si="4"/>
        <v>0</v>
      </c>
      <c r="AF13" s="865">
        <f t="shared" si="4"/>
        <v>0</v>
      </c>
      <c r="AG13" s="873">
        <f t="shared" si="4"/>
        <v>0</v>
      </c>
      <c r="AH13" s="870">
        <f t="shared" si="4"/>
        <v>0</v>
      </c>
      <c r="AI13" s="865">
        <f t="shared" si="4"/>
        <v>1232</v>
      </c>
      <c r="AJ13" s="867">
        <f t="shared" si="4"/>
        <v>0</v>
      </c>
      <c r="AK13" s="870">
        <f>SUBTOTAL(9,AK9:AK12)</f>
        <v>0</v>
      </c>
      <c r="AL13" s="874">
        <f>IF(ISNUMBER(NºAsuntos!G13/NºAsuntos!E13),NºAsuntos!G13/NºAsuntos!E13," - ")</f>
        <v>1.7493985565356855</v>
      </c>
      <c r="AM13" s="874">
        <f>IF(ISNUMBER(((NºAsuntos!I13/NºAsuntos!G13)*11)/factor_trimestre),((NºAsuntos!I13/NºAsuntos!G13)*11)/factor_trimestre," - ")</f>
        <v>5.1288104515241812</v>
      </c>
      <c r="AN13" s="875">
        <f>IF(ISNUMBER('Resol  Asuntos'!D13/NºAsuntos!G13),'Resol  Asuntos'!D13/NºAsuntos!G13," - ")</f>
        <v>0.2823745129498052</v>
      </c>
      <c r="AO13" s="876">
        <f>IF(ISNUMBER((NºAsuntos!C13+NºAsuntos!E13)/NºAsuntos!G13),(NºAsuntos!C13+NºAsuntos!E13)/NºAsuntos!G13," - ")</f>
        <v>2.5823974329589734</v>
      </c>
      <c r="AP13" s="877" t="str">
        <f t="shared" si="2"/>
        <v xml:space="preserve"> - </v>
      </c>
      <c r="AQ13" s="877">
        <f>IF(ISNUMBER((H13-W13+K13)/(F13)),(H13-W13+K13)/(F13)," - ")</f>
        <v>-1.9090909090909092</v>
      </c>
      <c r="AR13" s="878">
        <f>IF(ISNUMBER((Datos!P13-Datos!Q13)/(Datos!R13-Datos!P13+Datos!Q13)),(Datos!P13-Datos!Q13)/(Datos!R13-Datos!P13+Datos!Q13)," - ")</f>
        <v>1.6347737929286527E-2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2240</v>
      </c>
      <c r="G15" s="333">
        <f>IF(ISNUMBER(IF(D_I="SI",Datos!I15,Datos!I15+Datos!AC15)),IF(D_I="SI",Datos!I15,Datos!I15+Datos!AC15)," - ")</f>
        <v>2187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118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3611</v>
      </c>
      <c r="X15" s="226">
        <f>IF(ISNUMBER(Datos!Q15),Datos!Q15," - ")</f>
        <v>176</v>
      </c>
      <c r="Y15" s="334">
        <f>SUM(W15)</f>
        <v>3611</v>
      </c>
      <c r="Z15" s="335" t="str">
        <f>IF(ISNUMBER(Datos!CC15),Datos!CC15," - ")</f>
        <v xml:space="preserve"> - </v>
      </c>
      <c r="AA15" s="332">
        <f>IF(ISNUMBER(IF(D_I="SI",Datos!L15,Datos!L15+Datos!AF15)),IF(D_I="SI",Datos!L15,Datos!L15+Datos!AF15)," - ")</f>
        <v>2283</v>
      </c>
      <c r="AB15" s="334">
        <f>IF(ISNUMBER(Datos!R15),Datos!R15," - ")</f>
        <v>371</v>
      </c>
      <c r="AC15" s="334">
        <f t="shared" ref="AC15:AC17" si="6">IF(ISNUMBER(AA15+AB15),AA15+AB15," - ")</f>
        <v>2654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479</v>
      </c>
      <c r="AJ15" s="231" t="str">
        <f>IF(ISNUMBER(Datos!BW15),Datos!BW15," - ")</f>
        <v xml:space="preserve"> - </v>
      </c>
      <c r="AK15" s="232" t="str">
        <f>IF(ISNUMBER(Datos!BX15),Datos!BX15," - ")</f>
        <v xml:space="preserve"> - </v>
      </c>
      <c r="AL15" s="243">
        <f>IF(ISNUMBER(NºAsuntos!G15/NºAsuntos!E15),NºAsuntos!G15/NºAsuntos!E15," - ")</f>
        <v>0.98823207443897099</v>
      </c>
      <c r="AM15" s="260">
        <f>IF(ISNUMBER(((NºAsuntos!I15/NºAsuntos!G15)*11)/factor_trimestre),((NºAsuntos!I15/NºAsuntos!G15)*11)/factor_trimestre," - ")</f>
        <v>1.8967045139850456</v>
      </c>
      <c r="AN15" s="244">
        <f>IF(ISNUMBER('Resol  Asuntos'!D15/NºAsuntos!G15),'Resol  Asuntos'!D15/NºAsuntos!G15," - ")</f>
        <v>0.13265023539185822</v>
      </c>
      <c r="AO15" s="245">
        <f>IF(ISNUMBER((NºAsuntos!C15+NºAsuntos!E15)/NºAsuntos!G15),(NºAsuntos!C15+NºAsuntos!E15)/NºAsuntos!G15," - ")</f>
        <v>1.6175574633065632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189</v>
      </c>
      <c r="X17" s="226">
        <f>IF(ISNUMBER(Datos!Q17),Datos!Q17," - ")</f>
        <v>8</v>
      </c>
      <c r="Y17" s="334">
        <f t="shared" si="7"/>
        <v>197</v>
      </c>
      <c r="Z17" s="335" t="str">
        <f>IF(ISNUMBER(Datos!CC17),Datos!CC17," - ")</f>
        <v xml:space="preserve"> - </v>
      </c>
      <c r="AA17" s="332">
        <f>IF(ISNUMBER(Datos!L17),Datos!L17,"-")</f>
        <v>101</v>
      </c>
      <c r="AB17" s="334">
        <f>IF(ISNUMBER(Datos!R17),Datos!R17," - ")</f>
        <v>29</v>
      </c>
      <c r="AC17" s="334">
        <f t="shared" si="6"/>
        <v>130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48</v>
      </c>
      <c r="AJ17" s="231" t="str">
        <f>IF(ISNUMBER(Datos!BW17),Datos!BW17," - ")</f>
        <v xml:space="preserve"> - </v>
      </c>
      <c r="AK17" s="232" t="str">
        <f>IF(ISNUMBER(Datos!BX17),Datos!BX17," - ")</f>
        <v xml:space="preserve"> - </v>
      </c>
      <c r="AL17" s="243">
        <f>IF(ISNUMBER(NºAsuntos!G17/NºAsuntos!E17),NºAsuntos!G17/NºAsuntos!E17," - ")</f>
        <v>0.9642857142857143</v>
      </c>
      <c r="AM17" s="260">
        <f>IF(ISNUMBER(((NºAsuntos!I17/NºAsuntos!G17)*11)/factor_trimestre),((NºAsuntos!I17/NºAsuntos!G17)*11)/factor_trimestre," - ")</f>
        <v>1.6031746031746033</v>
      </c>
      <c r="AN17" s="244">
        <f>IF(ISNUMBER('Resol  Asuntos'!D17/NºAsuntos!G17),'Resol  Asuntos'!D17/NºAsuntos!G17," - ")</f>
        <v>0.25396825396825395</v>
      </c>
      <c r="AO17" s="245">
        <f>IF(ISNUMBER((NºAsuntos!C17+NºAsuntos!E17)/NºAsuntos!G17),(NºAsuntos!C17+NºAsuntos!E17)/NºAsuntos!G17," - ")</f>
        <v>1.5238095238095237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2240</v>
      </c>
      <c r="G18" s="866">
        <f>SUBTOTAL(9,G15:G17)</f>
        <v>2279</v>
      </c>
      <c r="H18" s="865">
        <f t="shared" ref="H18:O18" si="10">SUBTOTAL(9,H14:H17)</f>
        <v>0</v>
      </c>
      <c r="I18" s="867">
        <f t="shared" si="10"/>
        <v>0</v>
      </c>
      <c r="J18" s="867">
        <f t="shared" si="10"/>
        <v>0</v>
      </c>
      <c r="K18" s="867">
        <f t="shared" si="10"/>
        <v>0</v>
      </c>
      <c r="L18" s="867">
        <f t="shared" si="10"/>
        <v>130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3800</v>
      </c>
      <c r="X18" s="867">
        <f t="shared" si="11"/>
        <v>184</v>
      </c>
      <c r="Y18" s="868">
        <f t="shared" si="11"/>
        <v>3808</v>
      </c>
      <c r="Z18" s="868">
        <f t="shared" si="11"/>
        <v>0</v>
      </c>
      <c r="AA18" s="868">
        <f t="shared" si="11"/>
        <v>2384</v>
      </c>
      <c r="AB18" s="868">
        <f t="shared" si="11"/>
        <v>400</v>
      </c>
      <c r="AC18" s="868">
        <f t="shared" si="11"/>
        <v>2784</v>
      </c>
      <c r="AD18" s="868">
        <f t="shared" si="11"/>
        <v>0</v>
      </c>
      <c r="AE18" s="872">
        <f t="shared" si="11"/>
        <v>0</v>
      </c>
      <c r="AF18" s="865">
        <f t="shared" si="11"/>
        <v>0</v>
      </c>
      <c r="AG18" s="873">
        <f t="shared" si="11"/>
        <v>0</v>
      </c>
      <c r="AH18" s="870">
        <f t="shared" si="11"/>
        <v>0</v>
      </c>
      <c r="AI18" s="865">
        <f t="shared" si="11"/>
        <v>527</v>
      </c>
      <c r="AJ18" s="867">
        <f t="shared" si="11"/>
        <v>0</v>
      </c>
      <c r="AK18" s="870">
        <f t="shared" si="11"/>
        <v>0</v>
      </c>
      <c r="AL18" s="874">
        <f>IF(ISNUMBER(NºAsuntos!G18/NºAsuntos!E18),NºAsuntos!G18/NºAsuntos!E18," - ")</f>
        <v>0.98701298701298701</v>
      </c>
      <c r="AM18" s="874">
        <f>IF(ISNUMBER(((NºAsuntos!I18/NºAsuntos!G18)*11)/factor_trimestre),((NºAsuntos!I18/NºAsuntos!G18)*11)/factor_trimestre," - ")</f>
        <v>1.8821052631578947</v>
      </c>
      <c r="AN18" s="875">
        <f>IF(ISNUMBER('Resol  Asuntos'!D18/NºAsuntos!G18),'Resol  Asuntos'!D18/NºAsuntos!G18," - ")</f>
        <v>0.1386842105263158</v>
      </c>
      <c r="AO18" s="876">
        <f>IF(ISNUMBER((NºAsuntos!C18+NºAsuntos!E18)/NºAsuntos!G18),(NºAsuntos!C18+NºAsuntos!E18)/NºAsuntos!G18," - ")</f>
        <v>1.6128947368421052</v>
      </c>
      <c r="AP18" s="877" t="str">
        <f t="shared" si="2"/>
        <v xml:space="preserve"> - </v>
      </c>
      <c r="AQ18" s="877">
        <f>IF(ISNUMBER((H18-W18+K18)/(F18)),(H18-W18+K18)/(F18)," - ")</f>
        <v>-1.6964285714285714</v>
      </c>
      <c r="AR18" s="878">
        <f>IF(ISNUMBER((Datos!P18-Datos!Q18)/(Datos!R18-Datos!P18+Datos!Q18)),(Datos!P18-Datos!Q18)/(Datos!R18-Datos!P18+Datos!Q18)," - ")</f>
        <v>-0.11894273127753303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2262</v>
      </c>
      <c r="G19" s="821">
        <f t="shared" si="13"/>
        <v>2301</v>
      </c>
      <c r="H19" s="820">
        <f t="shared" si="13"/>
        <v>0</v>
      </c>
      <c r="I19" s="822">
        <f t="shared" si="13"/>
        <v>0</v>
      </c>
      <c r="J19" s="822">
        <f t="shared" si="13"/>
        <v>0</v>
      </c>
      <c r="K19" s="881">
        <f t="shared" si="13"/>
        <v>0</v>
      </c>
      <c r="L19" s="822">
        <f t="shared" si="13"/>
        <v>586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3842</v>
      </c>
      <c r="X19" s="821">
        <f t="shared" si="14"/>
        <v>511</v>
      </c>
      <c r="Y19" s="828">
        <f t="shared" si="14"/>
        <v>4177</v>
      </c>
      <c r="Z19" s="828">
        <f t="shared" si="14"/>
        <v>0</v>
      </c>
      <c r="AA19" s="828">
        <f t="shared" si="14"/>
        <v>2399</v>
      </c>
      <c r="AB19" s="828">
        <f t="shared" si="14"/>
        <v>8420</v>
      </c>
      <c r="AC19" s="828">
        <f t="shared" si="14"/>
        <v>2839</v>
      </c>
      <c r="AD19" s="828">
        <f t="shared" si="14"/>
        <v>0</v>
      </c>
      <c r="AE19" s="830">
        <f t="shared" si="14"/>
        <v>0</v>
      </c>
      <c r="AF19" s="831">
        <f t="shared" si="14"/>
        <v>0</v>
      </c>
      <c r="AG19" s="832">
        <f t="shared" si="14"/>
        <v>0</v>
      </c>
      <c r="AH19" s="830">
        <f t="shared" si="14"/>
        <v>0</v>
      </c>
      <c r="AI19" s="820">
        <f t="shared" si="14"/>
        <v>1759</v>
      </c>
      <c r="AJ19" s="820">
        <f t="shared" si="14"/>
        <v>0</v>
      </c>
      <c r="AK19" s="830">
        <f t="shared" si="14"/>
        <v>0</v>
      </c>
      <c r="AL19" s="884">
        <f>IF(ISNUMBER(NºAsuntos!G19/NºAsuntos!E19),NºAsuntos!G19/NºAsuntos!E19," - ")</f>
        <v>1.2867276166456494</v>
      </c>
      <c r="AM19" s="885">
        <f>IF(ISNUMBER(((NºAsuntos!I19/NºAsuntos!G19)*11)/factor_trimestre),((NºAsuntos!I19/NºAsuntos!G19)*11)/factor_trimestre," - ")</f>
        <v>3.6174200661521501</v>
      </c>
      <c r="AN19" s="885">
        <f>IF(ISNUMBER('Resol  Asuntos'!D19/NºAsuntos!G19),'Resol  Asuntos'!D19/NºAsuntos!G19," - ")</f>
        <v>0.21548450324635551</v>
      </c>
      <c r="AO19" s="886">
        <f>IF(ISNUMBER((NºAsuntos!C19+NºAsuntos!E19)/NºAsuntos!G19),(NºAsuntos!C19+NºAsuntos!E19)/NºAsuntos!G19," - ")</f>
        <v>2.1310792600759525</v>
      </c>
      <c r="AP19" s="887" t="str">
        <f t="shared" si="2"/>
        <v xml:space="preserve"> - </v>
      </c>
      <c r="AQ19" s="888">
        <f>IF(OR(ISNUMBER(FIND("01",Criterios!A8,1)),ISNUMBER(FIND("02",Criterios!A8,1)),ISNUMBER(FIND("03",Criterios!A8,1)),ISNUMBER(FIND("04",Criterios!A8,1))),(I19-W19+K19)/(F19-K19),(H19-W19+K19)/(F19-K19))</f>
        <v>-1.6984969053934571</v>
      </c>
      <c r="AR19" s="889">
        <f>IF(ISNUMBER((Datos!P19-Datos!Q19)/(Datos!R19-Datos!P19+Datos!Q19)),(Datos!P19-Datos!Q19)/(Datos!R19-Datos!P19+Datos!Q19)," - ")</f>
        <v>8.9874176153385259E-3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920.4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2.7284509239574835</v>
      </c>
      <c r="F21" s="252">
        <f>IF(ISNUMBER(STDEV(F8:F18)),STDEV(F8:F18),"-")</f>
        <v>1280.5628970625899</v>
      </c>
      <c r="G21" s="253">
        <f>IF(ISNUMBER(STDEV(G8:G18)),STDEV(G8:G18),"-")</f>
        <v>1199.0163885452109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1981.7794276861389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535.07743987825415</v>
      </c>
      <c r="AJ21" s="252">
        <f t="shared" si="18"/>
        <v>0</v>
      </c>
      <c r="AK21" s="254">
        <f t="shared" si="18"/>
        <v>0</v>
      </c>
      <c r="AL21" s="249">
        <f t="shared" si="18"/>
        <v>0.38076943538897096</v>
      </c>
      <c r="AM21" s="250">
        <f t="shared" si="18"/>
        <v>1.8498849688550105</v>
      </c>
      <c r="AN21" s="250">
        <f t="shared" si="18"/>
        <v>0.13368084785224485</v>
      </c>
      <c r="AO21" s="251">
        <f t="shared" si="18"/>
        <v>0.55570820725548775</v>
      </c>
      <c r="AP21" s="291" t="str">
        <f t="shared" si="18"/>
        <v>-</v>
      </c>
      <c r="AQ21" s="292">
        <f t="shared" si="18"/>
        <v>0.15037498106402236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n09ZvZf9XKT/Gj8Omr+4vl5CeDQhexrpEWxUyplBDBjRMsD9X2Of6skRAezlm+koGroKtU+MmfJ4JLYJYy2hw==" saltValue="3x1roM/I+NA0WrietJMK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ARRECIFE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0.4314420803782506</v>
      </c>
      <c r="I9" s="350">
        <f>IF(ISNUMBER((Tasas!C9-Datos!BE9)/Datos!BE9),(Tasas!C9-Datos!BE9)/Datos!BE9," - ")</f>
        <v>-7.2386482072854627E-2</v>
      </c>
      <c r="J9" s="349">
        <f>IF(ISNUMBER((Tasas!D9-Datos!BF9)/Datos!BF9),(Tasas!D9-Datos!BF9)/Datos!BF9," - ")</f>
        <v>-0.52860512375052704</v>
      </c>
      <c r="K9" s="351">
        <f>IF(ISNUMBER((Tasas!E9-Datos!BG9)/Datos!BG9),(Tasas!E9-Datos!BG9)/Datos!BG9," - ")</f>
        <v>-9.2005799574477062E-2</v>
      </c>
      <c r="M9" t="e">
        <f>IF(Monitorios="SI",Datos!CE9,0)</f>
        <v>#REF!</v>
      </c>
      <c r="N9" t="e">
        <f>IF(Monitorios="SI",Datos!CF9,0)</f>
        <v>#REF!</v>
      </c>
      <c r="O9" t="e">
        <f>IF(Monitorios="SI",Datos!CG9,0)</f>
        <v>#REF!</v>
      </c>
      <c r="P9" t="e">
        <f>IF(Monitorios="SI",Datos!CH9,0)</f>
        <v>#REF!</v>
      </c>
      <c r="Q9">
        <f>IF(J_V="SI",0,Datos!AG9)</f>
        <v>181</v>
      </c>
      <c r="R9">
        <f>IF(J_V="SI",0,Datos!AH9)</f>
        <v>123</v>
      </c>
      <c r="S9">
        <f>IF(J_V="SI",0,Datos!AI9)</f>
        <v>99</v>
      </c>
      <c r="T9">
        <f>IF(J_V="SI",0,Datos!AJ9)</f>
        <v>205</v>
      </c>
    </row>
    <row r="10" spans="2:20" ht="14.25">
      <c r="B10" s="275" t="s">
        <v>246</v>
      </c>
      <c r="C10" s="7" t="str">
        <f>Datos!A10</f>
        <v>Jdos. Violencia contra la mujer</v>
      </c>
      <c r="D10" s="352">
        <f>IF(ISNUMBER((Datos!I10-Datos!S10)/Datos!S10),(Datos!I10-Datos!S10)/Datos!S10," - ")</f>
        <v>0</v>
      </c>
      <c r="E10" s="348">
        <f>IF(ISNUMBER((Datos!J10-Datos!T10)/Datos!T10),(Datos!J10-Datos!T10)/Datos!T10," - ")</f>
        <v>0.45833333333333331</v>
      </c>
      <c r="F10" s="348">
        <f>IF(ISNUMBER((Datos!K10-Datos!U10)/Datos!U10),(Datos!K10-Datos!U10)/Datos!U10," - ")</f>
        <v>0.35483870967741937</v>
      </c>
      <c r="G10" s="349">
        <f>IF(ISNUMBER((Datos!L10-Datos!V10)/Datos!V10),(Datos!L10-Datos!V10)/Datos!V10," - ")</f>
        <v>0</v>
      </c>
      <c r="H10" s="230">
        <f>IF(ISNUMBER((Datos!M10-Datos!W10)/Datos!W10),(Datos!M10-Datos!W10)/Datos!W10," - ")</f>
        <v>0.3125</v>
      </c>
      <c r="I10" s="350">
        <f>IF(ISNUMBER((Tasas!C10-Datos!BE10)/Datos!BE10),(Tasas!C10-Datos!BE10)/Datos!BE10," - ")</f>
        <v>-0.26190476190476192</v>
      </c>
      <c r="J10" s="349">
        <f>IF(ISNUMBER((Tasas!D10-Datos!BF10)/Datos!BF10),(Tasas!D10-Datos!BF10)/Datos!BF10," - ")</f>
        <v>-3.1249999999999972E-2</v>
      </c>
      <c r="K10" s="351">
        <f>IF(ISNUMBER((Tasas!E10-Datos!BG10)/Datos!BG10),(Tasas!E10-Datos!BG10)/Datos!BG10," - ")</f>
        <v>-8.5403726708074501E-2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0.42923433874709976</v>
      </c>
      <c r="I13" s="357">
        <f>IF(ISNUMBER((Tasas!C13-Datos!BE13)/Datos!BE13),(Tasas!C13-Datos!BE13)/Datos!BE13," - ")</f>
        <v>-7.3341486649094637E-2</v>
      </c>
      <c r="J13" s="355">
        <f>IF(ISNUMBER((Tasas!D13-Datos!BF13)/Datos!BF13),(Tasas!D13-Datos!BF13)/Datos!BF13," - ")</f>
        <v>-0.52448680319277952</v>
      </c>
      <c r="K13" s="358">
        <f>IF(ISNUMBER((Tasas!E13-Datos!BG13)/Datos!BG13),(Tasas!E13-Datos!BG13)/Datos!BG13," - ")</f>
        <v>-9.2275134772045936E-2</v>
      </c>
      <c r="M13" t="e">
        <f>IF(Monitorios="SI",Datos!CE13,0)</f>
        <v>#REF!</v>
      </c>
      <c r="N13" t="e">
        <f>IF(Monitorios="SI",Datos!CF13,0)</f>
        <v>#REF!</v>
      </c>
      <c r="O13" t="e">
        <f>IF(Monitorios="SI",Datos!CG13,0)</f>
        <v>#REF!</v>
      </c>
      <c r="P13" t="e">
        <f>IF(Monitorios="SI",Datos!CH13,0)</f>
        <v>#REF!</v>
      </c>
      <c r="Q13">
        <f>IF(J_V="SI",0,Datos!AG13)</f>
        <v>181</v>
      </c>
      <c r="R13">
        <f>IF(J_V="SI",0,Datos!AH13)</f>
        <v>123</v>
      </c>
      <c r="S13">
        <f>IF(J_V="SI",0,Datos!AI13)</f>
        <v>99</v>
      </c>
      <c r="T13">
        <f>IF(J_V="SI",0,Datos!AJ13)</f>
        <v>205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0.15714285714285714</v>
      </c>
      <c r="E15" s="348">
        <f>IF(ISNUMBER(
   IF(D_I="SI",(Datos!J15-Datos!T15)/Datos!T15,(Datos!J15+Datos!AD15-(Datos!T15+Datos!AL15))/(Datos!T15+Datos!AL15))
     ),IF(D_I="SI",(Datos!J15-Datos!T15)/Datos!T15,(Datos!J15+Datos!AD15-(Datos!T15+Datos!AL15))/(Datos!T15+Datos!AL15))," - ")</f>
        <v>-0.11589644326155335</v>
      </c>
      <c r="F15" s="348">
        <f>IF(ISNUMBER(
   IF(D_I="SI",(Datos!K15-Datos!U15)/Datos!U15,(Datos!K15+Datos!AE15-(Datos!U15+Datos!AM15))/(Datos!U15+Datos!AM15))
     ),IF(D_I="SI",(Datos!K15-Datos!U15)/Datos!U15,(Datos!K15+Datos!AE15-(Datos!U15+Datos!AM15))/(Datos!U15+Datos!AM15))," - ")</f>
        <v>-8.3735092616087289E-2</v>
      </c>
      <c r="G15" s="349">
        <f>IF(ISNUMBER(
   IF(D_I="SI",(Datos!L15-Datos!V15)/Datos!V15,(Datos!L15+Datos!AF15-(Datos!V15+Datos!AN15))/(Datos!V15+Datos!AN15))
     ),IF(D_I="SI",(Datos!L15-Datos!V15)/Datos!V15,(Datos!L15+Datos!AF15-(Datos!V15+Datos!AN15))/(Datos!V15+Datos!AN15))," - ")</f>
        <v>6.532897806812879E-2</v>
      </c>
      <c r="H15" s="230">
        <f>IF(ISNUMBER((Datos!M15-Datos!W15)/Datos!W15),(Datos!M15-Datos!W15)/Datos!W15," - ")</f>
        <v>-6.0784313725490195E-2</v>
      </c>
      <c r="I15" s="350">
        <f>IF(ISNUMBER((Tasas!C15-Datos!BE15)/Datos!BE15),(Tasas!C15-Datos!BE15)/Datos!BE15," - ")</f>
        <v>0.16268665260772519</v>
      </c>
      <c r="J15" s="349">
        <f>IF(ISNUMBER((Tasas!D15-Datos!BF15)/Datos!BF15),(Tasas!D15-Datos!BF15)/Datos!BF15," - ")</f>
        <v>2.5048191528065176E-2</v>
      </c>
      <c r="K15" s="351">
        <f>IF(ISNUMBER((Tasas!E15-Datos!BG15)/Datos!BG15),(Tasas!E15-Datos!BG15)/Datos!BG15," - ")</f>
        <v>5.8408428173861153E-2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-8.9108910891089105E-2</v>
      </c>
      <c r="E17" s="348">
        <f>IF(ISNUMBER(
   IF(D_I="SI",(Datos!J17-Datos!T17)/Datos!T17,(Datos!J17+Datos!AD17-(Datos!T17+Datos!AL17))/(Datos!T17+Datos!AL17))
     ),IF(D_I="SI",(Datos!J17-Datos!T17)/Datos!T17,(Datos!J17+Datos!AD17-(Datos!T17+Datos!AL17))/(Datos!T17+Datos!AL17))," - ")</f>
        <v>-2.4875621890547265E-2</v>
      </c>
      <c r="F17" s="348">
        <f>IF(ISNUMBER(
   IF(D_I="SI",(Datos!K17-Datos!U17)/Datos!U17,(Datos!K17+Datos!AE17-(Datos!U17+Datos!AM17))/(Datos!U17+Datos!AM17))
     ),IF(D_I="SI",(Datos!K17-Datos!U17)/Datos!U17,(Datos!K17+Datos!AE17-(Datos!U17+Datos!AM17))/(Datos!U17+Datos!AM17))," - ")</f>
        <v>-0.10849056603773585</v>
      </c>
      <c r="G17" s="349">
        <f>IF(ISNUMBER(
   IF(D_I="SI",(Datos!L17-Datos!V17)/Datos!V17,(Datos!L17+Datos!AF17-(Datos!V17+Datos!AN17))/(Datos!V17+Datos!AN17))
     ),IF(D_I="SI",(Datos!L17-Datos!V17)/Datos!V17,(Datos!L17+Datos!AF17-(Datos!V17+Datos!AN17))/(Datos!V17+Datos!AN17))," - ")</f>
        <v>0.10989010989010989</v>
      </c>
      <c r="H17" s="230">
        <f>IF(ISNUMBER((Datos!M17-Datos!W17)/Datos!W17),(Datos!M17-Datos!W17)/Datos!W17," - ")</f>
        <v>-0.4</v>
      </c>
      <c r="I17" s="350">
        <f>IF(ISNUMBER((Tasas!C17-Datos!BE17)/Datos!BE17),(Tasas!C17-Datos!BE17)/Datos!BE17," - ")</f>
        <v>0.24495610209895927</v>
      </c>
      <c r="J17" s="349">
        <f>IF(ISNUMBER((Tasas!D17-Datos!BF17)/Datos!BF17),(Tasas!D17-Datos!BF17)/Datos!BF17," - ")</f>
        <v>-0.32698412698412704</v>
      </c>
      <c r="K17" s="351">
        <f>IF(ISNUMBER((Tasas!E17-Datos!BG17)/Datos!BG17),(Tasas!E17-Datos!BG17)/Datos!BG17," - ")</f>
        <v>6.9694102806685518E-2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0.14465092918131592</v>
      </c>
      <c r="E18" s="354">
        <f>IF(ISNUMBER(
   IF(D_I="SI",(Datos!J18-Datos!T18)/Datos!T18,(Datos!J18+Datos!AD18-(Datos!T18+Datos!AL18))/(Datos!T18+Datos!AL18))
     ),IF(D_I="SI",(Datos!J18-Datos!T18)/Datos!T18,(Datos!J18+Datos!AD18-(Datos!T18+Datos!AL18))/(Datos!T18+Datos!AL18))," - ")</f>
        <v>-0.1116751269035533</v>
      </c>
      <c r="F18" s="354">
        <f>IF(ISNUMBER(
   IF(D_I="SI",(Datos!K18-Datos!U18)/Datos!U18,(Datos!K18+Datos!AE18-(Datos!U18+Datos!AM18))/(Datos!U18+Datos!AM18))
     ),IF(D_I="SI",(Datos!K18-Datos!U18)/Datos!U18,(Datos!K18+Datos!AE18-(Datos!U18+Datos!AM18))/(Datos!U18+Datos!AM18))," - ")</f>
        <v>-8.4998796051047432E-2</v>
      </c>
      <c r="G18" s="355">
        <f>IF(ISNUMBER(
   IF(D_I="SI",(Datos!L18-Datos!V18)/Datos!V18,(Datos!L18+Datos!AF18-(Datos!V18+Datos!AN18))/(Datos!V18+Datos!AN18))
     ),IF(D_I="SI",(Datos!L18-Datos!V18)/Datos!V18,(Datos!L18+Datos!AF18-(Datos!V18+Datos!AN18))/(Datos!V18+Datos!AN18))," - ")</f>
        <v>6.714413607878246E-2</v>
      </c>
      <c r="H18" s="356">
        <f>IF(ISNUMBER((Datos!M18-Datos!W18)/Datos!W18),(Datos!M18-Datos!W18)/Datos!W18," - ")</f>
        <v>-0.10677966101694915</v>
      </c>
      <c r="I18" s="357">
        <f>IF(ISNUMBER((Tasas!C18-Datos!BE18)/Datos!BE18),(Tasas!C18-Datos!BE18)/Datos!BE18," - ")</f>
        <v>0.16627620977241681</v>
      </c>
      <c r="J18" s="355">
        <f>IF(ISNUMBER((Tasas!D18-Datos!BF18)/Datos!BF18),(Tasas!D18-Datos!BF18)/Datos!BF18," - ")</f>
        <v>-2.3804192685102449E-2</v>
      </c>
      <c r="K18" s="358">
        <f>IF(ISNUMBER((Tasas!E18-Datos!BG18)/Datos!BG18),(Tasas!E18-Datos!BG18)/Datos!BG18," - ")</f>
        <v>5.902795922612844E-2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0.35707269155206289</v>
      </c>
      <c r="E19" s="363">
        <f>IF(ISNUMBER(
   IF(J_V="SI",(Datos!J19-Datos!T19)/Datos!T19,(Datos!J19+Datos!Z19-(Datos!T19+Datos!AH19))/(Datos!T19+Datos!AH19))
     ),IF(J_V="SI",(Datos!J19-Datos!T19)/Datos!T19,(Datos!J19+Datos!Z19-(Datos!T19+Datos!AH19))/(Datos!T19+Datos!AH19))," - ")</f>
        <v>-0.21192546583850932</v>
      </c>
      <c r="F19" s="363">
        <f>IF(ISNUMBER(
   IF(J_V="SI",(Datos!K19-Datos!U19)/Datos!U19,(Datos!K19+Datos!AA19-(Datos!U19+Datos!AI19))/(Datos!U19+Datos!AI19))
     ),IF(J_V="SI",(Datos!K19-Datos!U19)/Datos!U19,(Datos!K19+Datos!AA19-(Datos!U19+Datos!AI19))/(Datos!U19+Datos!AI19))," - ")</f>
        <v>7.0978745736027291E-2</v>
      </c>
      <c r="G19" s="364">
        <f>IF(ISNUMBER(
   IF(J_V="SI",(Datos!L19-Datos!V19)/Datos!V19,(Datos!L19+Datos!AB19-(Datos!V19+Datos!AJ19))/(Datos!V19+Datos!AJ19))
     ),IF(J_V="SI",(Datos!L19-Datos!V19)/Datos!V19,(Datos!L19+Datos!AB19-(Datos!V19+Datos!AJ19))/(Datos!V19+Datos!AJ19))," - ")</f>
        <v>0.14002779708130647</v>
      </c>
      <c r="H19" s="365">
        <f>IF(ISNUMBER((Datos!M19-Datos!W19)/Datos!W19),(Datos!M19-Datos!W19)/Datos!W19," - ")</f>
        <v>0.21143250688705234</v>
      </c>
      <c r="I19" s="362">
        <f>IF(ISNUMBER((Tasas!C19-Datos!BE19)/Datos!BE19),(Tasas!C19-Datos!BE19)/Datos!BE19," - ")</f>
        <v>6.4472849363434726E-2</v>
      </c>
      <c r="J19" s="363">
        <f>IF(ISNUMBER((Tasas!D19-Datos!BF19)/Datos!BF19),(Tasas!D19-Datos!BF19)/Datos!BF19," - ")</f>
        <v>-0.38021777971935028</v>
      </c>
      <c r="K19" s="364">
        <f>IF(ISNUMBER((Tasas!E19-Datos!BG19)/Datos!BG19),(Tasas!E19-Datos!BG19)/Datos!BG19," - ")</f>
        <v>3.031130066624069E-3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0.11867245230007106</v>
      </c>
      <c r="E21" s="278">
        <f t="shared" si="1"/>
        <v>0.27446571415870019</v>
      </c>
      <c r="F21" s="278">
        <f t="shared" si="1"/>
        <v>0.22391298959383052</v>
      </c>
      <c r="G21" s="279">
        <f t="shared" si="1"/>
        <v>4.5339693961059878E-2</v>
      </c>
      <c r="H21" s="285">
        <f t="shared" si="1"/>
        <v>0.34117723437655456</v>
      </c>
      <c r="I21" s="277">
        <f t="shared" si="1"/>
        <v>0.19427947858323805</v>
      </c>
      <c r="J21" s="278">
        <f t="shared" si="1"/>
        <v>0.25776363197883639</v>
      </c>
      <c r="K21" s="279">
        <f t="shared" si="1"/>
        <v>8.3535395394933043E-2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uDQKraFmMyGu6m3APG84d/mDmrTK/ci33xaEpERX1Ts3AG9nw8bSOY1BZSW4eMld1lqFjn3FdZmP64UkZp2lw==" saltValue="0XvGo/1bv1GYS/9uZo51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